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5.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mc:AlternateContent xmlns:mc="http://schemas.openxmlformats.org/markup-compatibility/2006">
    <mc:Choice Requires="x15">
      <x15ac:absPath xmlns:x15ac="http://schemas.microsoft.com/office/spreadsheetml/2010/11/ac" url="C:\Users\PERSONAL\Desktop\Laura\Enero-Junio\Documentos\Publicación de documentos\RT03\"/>
    </mc:Choice>
  </mc:AlternateContent>
  <xr:revisionPtr revIDLastSave="0" documentId="13_ncr:1_{7FB3FF3C-50F8-405B-8C43-CC25D1CB2096}" xr6:coauthVersionLast="46" xr6:coauthVersionMax="46" xr10:uidLastSave="{00000000-0000-0000-0000-000000000000}"/>
  <workbookProtection workbookPassword="E9FB" lockStructure="1"/>
  <bookViews>
    <workbookView xWindow="-120" yWindow="-120" windowWidth="20730" windowHeight="11160" tabRatio="791" firstSheet="2" activeTab="2" xr2:uid="{00000000-000D-0000-FFFF-FFFF00000000}"/>
  </bookViews>
  <sheets>
    <sheet name="DATOS &amp;" sheetId="22" state="hidden" r:id="rId1"/>
    <sheet name="Hoja1" sheetId="40" state="hidden" r:id="rId2"/>
    <sheet name="RT03-F33 &amp; " sheetId="30" r:id="rId3"/>
    <sheet name="CMC &amp;" sheetId="36" state="hidden" r:id="rId4"/>
    <sheet name="Máx. y Mín. &amp;" sheetId="35" state="hidden" r:id="rId5"/>
    <sheet name="VERIFICACIÓN DE LA ESCALA &amp;" sheetId="18" state="hidden" r:id="rId6"/>
    <sheet name="RT03-F38 &amp;" sheetId="39" state="hidden" r:id="rId7"/>
    <sheet name="RT03-F14 &amp;" sheetId="26" state="hidden" r:id="rId8"/>
    <sheet name="Pc &amp;" sheetId="38" state="hidden" r:id="rId9"/>
  </sheets>
  <definedNames>
    <definedName name="aCinco" localSheetId="2">'RT03-F33 &amp; '!$C$75</definedName>
    <definedName name="aCuatro" localSheetId="2">'RT03-F33 &amp; '!$C$74</definedName>
    <definedName name="aDos" localSheetId="2">'RT03-F33 &amp; '!$C$72</definedName>
    <definedName name="_xlnm.Print_Area" localSheetId="3">'CMC &amp;'!$A$1:$N$16</definedName>
    <definedName name="_xlnm.Print_Area" localSheetId="0">'DATOS &amp;'!$A$1:$AI$198</definedName>
    <definedName name="_xlnm.Print_Area" localSheetId="4">'Máx. y Mín. &amp;'!$A$1:$M$22</definedName>
    <definedName name="_xlnm.Print_Area" localSheetId="8">'Pc &amp;'!$A$1:$Q$25</definedName>
    <definedName name="_xlnm.Print_Area" localSheetId="7">'RT03-F14 &amp;'!$A$1:$K$163</definedName>
    <definedName name="_xlnm.Print_Area" localSheetId="2">'RT03-F33 &amp; '!$A$1:$AB$214</definedName>
    <definedName name="_xlnm.Print_Area" localSheetId="6">'RT03-F38 &amp;'!$A$1:$K$163</definedName>
    <definedName name="_xlnm.Print_Area" localSheetId="5">'VERIFICACIÓN DE LA ESCALA &amp;'!$A$1:$W$61</definedName>
    <definedName name="aTres" localSheetId="2">'RT03-F33 &amp; '!$C$73</definedName>
    <definedName name="aUno" localSheetId="2">'RT03-F33 &amp; '!$C$71</definedName>
    <definedName name="kCero" localSheetId="2">'RT03-F33 &amp; '!$C$79</definedName>
    <definedName name="kDos" localSheetId="2">'RT03-F33 &amp; '!$C$81</definedName>
    <definedName name="kUno" localSheetId="2">'RT03-F33 &amp; '!$C$80</definedName>
    <definedName name="p" localSheetId="2">'RT03-F33 &amp; '!$C$51</definedName>
    <definedName name="Pcero" localSheetId="2">'RT03-F33 &amp; '!$C$82</definedName>
    <definedName name="Print_Area" localSheetId="7">'RT03-F14 &amp;'!$A$1:$K$157</definedName>
    <definedName name="Print_Area" localSheetId="6">'RT03-F38 &amp;'!$A$1:$K$157</definedName>
    <definedName name="Print_Area" localSheetId="5">'VERIFICACIÓN DE LA ESCALA &amp;'!$A$1:$V$60</definedName>
    <definedName name="Print_Titles" localSheetId="5">'VERIFICACIÓN DE LA ESCALA &amp;'!$1:$1</definedName>
    <definedName name="sCero" localSheetId="2">'RT03-F33 &amp; '!$C$86</definedName>
    <definedName name="sUno" localSheetId="2">'RT03-F33 &amp; '!$C$87</definedName>
    <definedName name="t" localSheetId="2">'RT03-F33 &amp; '!$C$47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82" i="30" l="1"/>
  <c r="O181" i="30"/>
  <c r="O180" i="30"/>
  <c r="O178" i="30"/>
  <c r="O177" i="30"/>
  <c r="O176" i="30"/>
  <c r="O175" i="30"/>
  <c r="O174" i="30"/>
  <c r="O172" i="30"/>
  <c r="O170" i="30"/>
  <c r="O156" i="30"/>
  <c r="O161" i="30"/>
  <c r="O168" i="30"/>
  <c r="O166" i="30"/>
  <c r="O164" i="30"/>
  <c r="O163" i="30"/>
  <c r="O162" i="30"/>
  <c r="O159" i="30"/>
  <c r="O158" i="30"/>
  <c r="O157" i="30"/>
  <c r="O146" i="30"/>
  <c r="O145" i="30"/>
  <c r="O144" i="30"/>
  <c r="O142" i="30"/>
  <c r="O141" i="30"/>
  <c r="O140" i="30"/>
  <c r="O138" i="30"/>
  <c r="O137" i="30"/>
  <c r="O136" i="30"/>
  <c r="O124" i="30"/>
  <c r="O123" i="30"/>
  <c r="O122" i="30"/>
  <c r="O120" i="30"/>
  <c r="O119" i="30"/>
  <c r="O118" i="30"/>
  <c r="O116" i="30"/>
  <c r="O115" i="30"/>
  <c r="O114" i="30"/>
  <c r="O112" i="30"/>
  <c r="G177" i="30"/>
  <c r="J20" i="40" l="1"/>
  <c r="J19" i="40"/>
  <c r="I20" i="40"/>
  <c r="J21" i="40" s="1"/>
  <c r="F84" i="30" l="1"/>
  <c r="E84" i="30"/>
  <c r="D84" i="30"/>
  <c r="C84" i="30"/>
  <c r="B84" i="30"/>
  <c r="D177" i="30" s="1"/>
  <c r="H177" i="30" s="1"/>
  <c r="B80" i="30"/>
  <c r="C80" i="30"/>
  <c r="D80" i="30"/>
  <c r="E80" i="30"/>
  <c r="F80" i="30"/>
  <c r="F82" i="30"/>
  <c r="E82" i="30"/>
  <c r="D82" i="30"/>
  <c r="C82" i="30"/>
  <c r="B82" i="30"/>
  <c r="P22" i="30"/>
  <c r="P21" i="30"/>
  <c r="P20" i="30"/>
  <c r="P19" i="30"/>
  <c r="O22" i="30"/>
  <c r="O21" i="30"/>
  <c r="O20" i="30"/>
  <c r="O19" i="30"/>
  <c r="K22" i="30"/>
  <c r="K21" i="30"/>
  <c r="K20" i="30"/>
  <c r="K19" i="30"/>
  <c r="I22" i="30"/>
  <c r="I21" i="30"/>
  <c r="M21" i="30" s="1"/>
  <c r="I20" i="30"/>
  <c r="D157" i="30" s="1"/>
  <c r="I19" i="30"/>
  <c r="M19" i="30" s="1"/>
  <c r="G22" i="30"/>
  <c r="G21" i="30"/>
  <c r="G20" i="30"/>
  <c r="G19" i="30"/>
  <c r="E22" i="30"/>
  <c r="E21" i="30"/>
  <c r="E20" i="30"/>
  <c r="E19" i="30"/>
  <c r="C22" i="30"/>
  <c r="C21" i="30"/>
  <c r="C20" i="30"/>
  <c r="C19" i="30"/>
  <c r="B22" i="30"/>
  <c r="B21" i="30"/>
  <c r="B20" i="30"/>
  <c r="B19" i="30"/>
  <c r="R179" i="22"/>
  <c r="P172" i="22"/>
  <c r="P173" i="22"/>
  <c r="P174" i="22"/>
  <c r="P175" i="22"/>
  <c r="P176" i="22"/>
  <c r="P177" i="22"/>
  <c r="P178" i="22"/>
  <c r="R178" i="22" s="1"/>
  <c r="P179" i="22"/>
  <c r="P180" i="22"/>
  <c r="R180" i="22" s="1"/>
  <c r="N180" i="22"/>
  <c r="N179" i="22"/>
  <c r="N178" i="22"/>
  <c r="N177" i="22"/>
  <c r="N176" i="22"/>
  <c r="N175" i="22"/>
  <c r="N174" i="22"/>
  <c r="N173" i="22"/>
  <c r="N172" i="22"/>
  <c r="N171" i="22"/>
  <c r="M180" i="22"/>
  <c r="M179" i="22"/>
  <c r="M178" i="22"/>
  <c r="M177" i="22"/>
  <c r="M176" i="22"/>
  <c r="M175" i="22"/>
  <c r="M174" i="22"/>
  <c r="M173" i="22"/>
  <c r="M172" i="22"/>
  <c r="M171" i="22"/>
  <c r="M22" i="30" l="1"/>
  <c r="M20" i="30"/>
  <c r="O180" i="22"/>
  <c r="O179" i="22"/>
  <c r="O178" i="22"/>
  <c r="C52" i="30" l="1"/>
  <c r="G174" i="30" l="1"/>
  <c r="G176" i="30"/>
  <c r="G172" i="30"/>
  <c r="H182" i="30" l="1"/>
  <c r="L182" i="30" s="1"/>
  <c r="G181" i="30"/>
  <c r="H181" i="30" s="1"/>
  <c r="L181" i="30" s="1"/>
  <c r="G180" i="30"/>
  <c r="G179" i="30"/>
  <c r="G178" i="30"/>
  <c r="G164" i="30"/>
  <c r="G163" i="30"/>
  <c r="G161" i="30"/>
  <c r="G159" i="30"/>
  <c r="G158" i="30"/>
  <c r="G156" i="30"/>
  <c r="P181" i="30" l="1"/>
  <c r="Q181" i="30" s="1"/>
  <c r="N181" i="30"/>
  <c r="P182" i="30"/>
  <c r="Q182" i="30" s="1"/>
  <c r="N182" i="30"/>
  <c r="G137" i="30" l="1"/>
  <c r="G142" i="30"/>
  <c r="G141" i="30"/>
  <c r="G146" i="30"/>
  <c r="H146" i="30" s="1"/>
  <c r="G145" i="30"/>
  <c r="G124" i="30"/>
  <c r="H124" i="30" s="1"/>
  <c r="G123" i="30"/>
  <c r="G120" i="30"/>
  <c r="H120" i="30" s="1"/>
  <c r="G119" i="30"/>
  <c r="G116" i="30"/>
  <c r="H116" i="30" s="1"/>
  <c r="G115" i="30"/>
  <c r="C51" i="30" l="1"/>
  <c r="C50" i="30"/>
  <c r="AF116" i="22"/>
  <c r="AF115" i="22" s="1"/>
  <c r="C45" i="30"/>
  <c r="C44" i="30"/>
  <c r="C43" i="30"/>
  <c r="C42" i="30"/>
  <c r="C41" i="30"/>
  <c r="B85" i="30" l="1"/>
  <c r="F85" i="30" s="1"/>
  <c r="B183" i="30"/>
  <c r="P32" i="30"/>
  <c r="O32" i="30"/>
  <c r="I32" i="30"/>
  <c r="D138" i="30" s="1"/>
  <c r="G32" i="30"/>
  <c r="E32" i="30"/>
  <c r="D137" i="30" s="1"/>
  <c r="C32" i="30"/>
  <c r="B32" i="30"/>
  <c r="B31" i="30"/>
  <c r="P192" i="22"/>
  <c r="O192" i="22"/>
  <c r="C85" i="30" l="1"/>
  <c r="D85" i="30"/>
  <c r="E85" i="30"/>
  <c r="H138" i="30"/>
  <c r="L138" i="30" s="1"/>
  <c r="H137" i="30"/>
  <c r="L137" i="30" s="1"/>
  <c r="P31" i="30"/>
  <c r="P30" i="30"/>
  <c r="P29" i="30"/>
  <c r="P26" i="30"/>
  <c r="O31" i="30"/>
  <c r="O30" i="30"/>
  <c r="O29" i="30"/>
  <c r="O26" i="30"/>
  <c r="G118" i="30" s="1"/>
  <c r="I31" i="30"/>
  <c r="I30" i="30"/>
  <c r="I29" i="30"/>
  <c r="I26" i="30"/>
  <c r="G31" i="30"/>
  <c r="G30" i="30"/>
  <c r="G29" i="30"/>
  <c r="G26" i="30"/>
  <c r="E31" i="30"/>
  <c r="E30" i="30"/>
  <c r="E29" i="30"/>
  <c r="E26" i="30"/>
  <c r="D119" i="30" s="1"/>
  <c r="H119" i="30" s="1"/>
  <c r="C31" i="30"/>
  <c r="C30" i="30"/>
  <c r="C29" i="30"/>
  <c r="C26" i="30"/>
  <c r="P28" i="30"/>
  <c r="P27" i="30"/>
  <c r="P23" i="30"/>
  <c r="O28" i="30"/>
  <c r="O27" i="30"/>
  <c r="O23" i="30"/>
  <c r="G114" i="30" s="1"/>
  <c r="I28" i="30"/>
  <c r="I27" i="30"/>
  <c r="I23" i="30"/>
  <c r="G28" i="30"/>
  <c r="G27" i="30"/>
  <c r="G23" i="30"/>
  <c r="E28" i="30"/>
  <c r="E27" i="30"/>
  <c r="E23" i="30"/>
  <c r="D115" i="30" s="1"/>
  <c r="H115" i="30" s="1"/>
  <c r="C28" i="30"/>
  <c r="C25" i="30"/>
  <c r="C27" i="30"/>
  <c r="C24" i="30"/>
  <c r="C23" i="30"/>
  <c r="B30" i="30"/>
  <c r="B29" i="30"/>
  <c r="B28" i="30"/>
  <c r="B27" i="30"/>
  <c r="B26" i="30"/>
  <c r="P25" i="30"/>
  <c r="P24" i="30"/>
  <c r="O25" i="30"/>
  <c r="O24" i="30"/>
  <c r="I25" i="30"/>
  <c r="I24" i="30"/>
  <c r="G25" i="30"/>
  <c r="G24" i="30"/>
  <c r="E25" i="30"/>
  <c r="E24" i="30"/>
  <c r="B25" i="30"/>
  <c r="B24" i="30"/>
  <c r="B23" i="30"/>
  <c r="B13" i="30"/>
  <c r="B159" i="22"/>
  <c r="P7" i="30"/>
  <c r="O7" i="30"/>
  <c r="G170" i="30" s="1"/>
  <c r="H170" i="30" s="1"/>
  <c r="K7" i="30"/>
  <c r="I7" i="30"/>
  <c r="M7" i="30" s="1"/>
  <c r="G7" i="30"/>
  <c r="E7" i="30"/>
  <c r="C7" i="30"/>
  <c r="B169" i="30" s="1"/>
  <c r="B7" i="30"/>
  <c r="P185" i="22"/>
  <c r="O185" i="22"/>
  <c r="B17" i="30"/>
  <c r="B18" i="30"/>
  <c r="C14" i="30"/>
  <c r="P18" i="30"/>
  <c r="P17" i="30"/>
  <c r="P16" i="30"/>
  <c r="P15" i="30"/>
  <c r="P14" i="30"/>
  <c r="P13" i="30"/>
  <c r="O18" i="30"/>
  <c r="O17" i="30"/>
  <c r="O16" i="30"/>
  <c r="G157" i="30" s="1"/>
  <c r="O15" i="30"/>
  <c r="O14" i="30"/>
  <c r="G162" i="30" s="1"/>
  <c r="O13" i="30"/>
  <c r="I18" i="30"/>
  <c r="I17" i="30"/>
  <c r="I16" i="30"/>
  <c r="I15" i="30"/>
  <c r="I14" i="30"/>
  <c r="D162" i="30" s="1"/>
  <c r="I13" i="30"/>
  <c r="G18" i="30"/>
  <c r="G17" i="30"/>
  <c r="G16" i="30"/>
  <c r="G15" i="30"/>
  <c r="G14" i="30"/>
  <c r="G13" i="30"/>
  <c r="E18" i="30"/>
  <c r="E17" i="30"/>
  <c r="E16" i="30"/>
  <c r="E15" i="30"/>
  <c r="E14" i="30"/>
  <c r="E13" i="30"/>
  <c r="C18" i="30"/>
  <c r="C17" i="30"/>
  <c r="C16" i="30"/>
  <c r="C15" i="30"/>
  <c r="C13" i="30"/>
  <c r="B16" i="30"/>
  <c r="B15" i="30"/>
  <c r="B14" i="30"/>
  <c r="H157" i="30" l="1"/>
  <c r="H162" i="30"/>
  <c r="D156" i="30"/>
  <c r="H156" i="30" s="1"/>
  <c r="D161" i="30"/>
  <c r="H161" i="30" s="1"/>
  <c r="N137" i="30"/>
  <c r="N138" i="30"/>
  <c r="G122" i="30"/>
  <c r="G144" i="30"/>
  <c r="D145" i="30"/>
  <c r="D123" i="30"/>
  <c r="H123" i="30" s="1"/>
  <c r="D122" i="30"/>
  <c r="H122" i="30" s="1"/>
  <c r="D144" i="30"/>
  <c r="H144" i="30" s="1"/>
  <c r="D118" i="30"/>
  <c r="H118" i="30" s="1"/>
  <c r="D114" i="30"/>
  <c r="H114" i="30" s="1"/>
  <c r="O172" i="22"/>
  <c r="O173" i="22"/>
  <c r="O174" i="22"/>
  <c r="O175" i="22"/>
  <c r="O176" i="22"/>
  <c r="O177" i="22"/>
  <c r="O171" i="22"/>
  <c r="R176" i="22"/>
  <c r="P171" i="22"/>
  <c r="H159" i="39"/>
  <c r="B159" i="39"/>
  <c r="H158" i="39"/>
  <c r="B158" i="39"/>
  <c r="C102" i="39"/>
  <c r="C109" i="39" s="1"/>
  <c r="C101" i="39"/>
  <c r="C108" i="39" s="1"/>
  <c r="C100" i="39"/>
  <c r="C107" i="39" s="1"/>
  <c r="F114" i="39" s="1"/>
  <c r="I94" i="39"/>
  <c r="G94" i="39"/>
  <c r="E94" i="39"/>
  <c r="D94" i="39"/>
  <c r="I93" i="39"/>
  <c r="G93" i="39"/>
  <c r="D93" i="39"/>
  <c r="I92" i="39"/>
  <c r="G92" i="39"/>
  <c r="D92" i="39"/>
  <c r="I91" i="39"/>
  <c r="I76" i="39"/>
  <c r="F76" i="39"/>
  <c r="C76" i="39"/>
  <c r="G62" i="39"/>
  <c r="E29" i="39"/>
  <c r="A27" i="39"/>
  <c r="E21" i="39"/>
  <c r="E17" i="39"/>
  <c r="E16" i="39"/>
  <c r="E15" i="39"/>
  <c r="J10" i="39"/>
  <c r="D8" i="39"/>
  <c r="D7" i="39"/>
  <c r="D6" i="39"/>
  <c r="K17" i="30" l="1"/>
  <c r="R175" i="22"/>
  <c r="R171" i="22"/>
  <c r="K13" i="30" s="1"/>
  <c r="R174" i="22"/>
  <c r="K16" i="30" s="1"/>
  <c r="D159" i="30" s="1"/>
  <c r="H159" i="30" s="1"/>
  <c r="R177" i="22"/>
  <c r="K18" i="30" s="1"/>
  <c r="M18" i="30" s="1"/>
  <c r="R173" i="22"/>
  <c r="K15" i="30" s="1"/>
  <c r="R172" i="22"/>
  <c r="K14" i="30" s="1"/>
  <c r="D164" i="30" s="1"/>
  <c r="H164" i="30" s="1"/>
  <c r="B155" i="30"/>
  <c r="D158" i="30" s="1"/>
  <c r="H145" i="30"/>
  <c r="C88" i="30"/>
  <c r="D88" i="30"/>
  <c r="E88" i="30"/>
  <c r="F88" i="30"/>
  <c r="M32" i="22"/>
  <c r="G62" i="26"/>
  <c r="H158" i="30" l="1"/>
  <c r="B88" i="30"/>
  <c r="B160" i="30"/>
  <c r="D163" i="30" s="1"/>
  <c r="A100" i="30"/>
  <c r="H163" i="30" l="1"/>
  <c r="B154" i="30"/>
  <c r="B12" i="38"/>
  <c r="B13" i="38" s="1"/>
  <c r="A9" i="38" s="1"/>
  <c r="M4" i="36" l="1"/>
  <c r="F12" i="36" s="1"/>
  <c r="L12" i="36" l="1"/>
  <c r="L7" i="35" l="1"/>
  <c r="F7" i="35"/>
  <c r="P45" i="22" l="1"/>
  <c r="P46" i="22"/>
  <c r="P47" i="22"/>
  <c r="P48" i="22"/>
  <c r="P44" i="22"/>
  <c r="P39" i="22"/>
  <c r="P40" i="22"/>
  <c r="P41" i="22"/>
  <c r="P42" i="22"/>
  <c r="P38" i="22"/>
  <c r="M31" i="22" l="1"/>
  <c r="B12" i="18" l="1"/>
  <c r="H9" i="35"/>
  <c r="B12" i="30"/>
  <c r="B11" i="30"/>
  <c r="B10" i="30"/>
  <c r="B9" i="30"/>
  <c r="B8" i="30"/>
  <c r="P12" i="30"/>
  <c r="P11" i="30"/>
  <c r="P10" i="30"/>
  <c r="P9" i="30"/>
  <c r="P8" i="30"/>
  <c r="O12" i="30"/>
  <c r="G175" i="30" s="1"/>
  <c r="O11" i="30"/>
  <c r="O10" i="30"/>
  <c r="O9" i="30"/>
  <c r="O8" i="30"/>
  <c r="G140" i="30" s="1"/>
  <c r="R35" i="30"/>
  <c r="R34" i="30"/>
  <c r="Q35" i="30"/>
  <c r="Q34" i="30"/>
  <c r="P34" i="30"/>
  <c r="O34" i="30"/>
  <c r="I34" i="30"/>
  <c r="G34" i="30"/>
  <c r="E34" i="30"/>
  <c r="C34" i="30"/>
  <c r="B34" i="30"/>
  <c r="P33" i="30"/>
  <c r="O33" i="30"/>
  <c r="B33" i="30"/>
  <c r="I33" i="30"/>
  <c r="G33" i="30"/>
  <c r="E33" i="30"/>
  <c r="C33" i="30"/>
  <c r="I12" i="30"/>
  <c r="D175" i="30" s="1"/>
  <c r="H175" i="30" s="1"/>
  <c r="G12" i="30"/>
  <c r="E12" i="30"/>
  <c r="C12" i="30"/>
  <c r="I11" i="30"/>
  <c r="G11" i="30"/>
  <c r="E11" i="30"/>
  <c r="C11" i="30"/>
  <c r="I10" i="30"/>
  <c r="G10" i="30"/>
  <c r="E10" i="30"/>
  <c r="C10" i="30"/>
  <c r="I9" i="30"/>
  <c r="G9" i="30"/>
  <c r="E9" i="30"/>
  <c r="C9" i="30"/>
  <c r="I8" i="30"/>
  <c r="G8" i="30"/>
  <c r="E8" i="30"/>
  <c r="C8" i="30"/>
  <c r="O32" i="22"/>
  <c r="O31" i="22"/>
  <c r="Z127" i="22"/>
  <c r="W127" i="22"/>
  <c r="T127" i="22"/>
  <c r="Z125" i="22"/>
  <c r="Z122" i="22"/>
  <c r="W122" i="22"/>
  <c r="T122" i="22"/>
  <c r="Z126" i="22"/>
  <c r="W126" i="22"/>
  <c r="T126" i="22"/>
  <c r="W125" i="22"/>
  <c r="T125" i="22"/>
  <c r="Z124" i="22"/>
  <c r="W124" i="22"/>
  <c r="T124" i="22"/>
  <c r="Z123" i="22"/>
  <c r="W123" i="22"/>
  <c r="T123" i="22"/>
  <c r="V114" i="22"/>
  <c r="S114" i="22"/>
  <c r="P114" i="22"/>
  <c r="V115" i="22"/>
  <c r="S115" i="22"/>
  <c r="P115" i="22"/>
  <c r="V117" i="22"/>
  <c r="S117" i="22"/>
  <c r="P116" i="22"/>
  <c r="P117" i="22"/>
  <c r="V116" i="22"/>
  <c r="S116" i="22"/>
  <c r="V113" i="22"/>
  <c r="S113" i="22"/>
  <c r="P113" i="22"/>
  <c r="D140" i="30" l="1"/>
  <c r="H140" i="30" s="1"/>
  <c r="D141" i="30"/>
  <c r="H141" i="30" s="1"/>
  <c r="D174" i="30"/>
  <c r="H174" i="30" s="1"/>
  <c r="AA122" i="22"/>
  <c r="AA123" i="22"/>
  <c r="W116" i="22"/>
  <c r="K33" i="30" s="1"/>
  <c r="W114" i="22"/>
  <c r="AA125" i="22"/>
  <c r="AA127" i="22"/>
  <c r="AA126" i="22"/>
  <c r="AA124" i="22"/>
  <c r="W113" i="22"/>
  <c r="W115" i="22"/>
  <c r="W117" i="22"/>
  <c r="R44" i="22"/>
  <c r="R45" i="22"/>
  <c r="R46" i="22"/>
  <c r="R47" i="22"/>
  <c r="R48" i="22"/>
  <c r="K34" i="30" l="1"/>
  <c r="K10" i="30"/>
  <c r="K8" i="30"/>
  <c r="K12" i="30"/>
  <c r="D176" i="30" s="1"/>
  <c r="H176" i="30" s="1"/>
  <c r="K11" i="30"/>
  <c r="K9" i="30"/>
  <c r="R58" i="22" l="1"/>
  <c r="R39" i="22" l="1"/>
  <c r="R40" i="22"/>
  <c r="R41" i="22"/>
  <c r="R42" i="22"/>
  <c r="D142" i="30" s="1"/>
  <c r="H142" i="30" s="1"/>
  <c r="R38" i="22"/>
  <c r="A27" i="26" l="1"/>
  <c r="J10" i="26" l="1"/>
  <c r="E94" i="26" l="1"/>
  <c r="G94" i="26" l="1"/>
  <c r="M8" i="30" l="1"/>
  <c r="B3" i="30" l="1"/>
  <c r="H32" i="22" l="1"/>
  <c r="H31" i="22"/>
  <c r="C102" i="26" l="1"/>
  <c r="C101" i="26"/>
  <c r="C100" i="26"/>
  <c r="C55" i="30" l="1"/>
  <c r="A100" i="39"/>
  <c r="A107" i="39" s="1"/>
  <c r="P37" i="30"/>
  <c r="O37" i="30"/>
  <c r="I37" i="30"/>
  <c r="G37" i="30"/>
  <c r="E37" i="30"/>
  <c r="C37" i="30"/>
  <c r="B37" i="30"/>
  <c r="P36" i="30"/>
  <c r="O36" i="30"/>
  <c r="I36" i="30"/>
  <c r="G36" i="30"/>
  <c r="E36" i="30"/>
  <c r="C36" i="30"/>
  <c r="B36" i="30"/>
  <c r="O21" i="18"/>
  <c r="O20" i="18"/>
  <c r="N20" i="18"/>
  <c r="G8" i="18"/>
  <c r="M34" i="30"/>
  <c r="E8" i="18"/>
  <c r="D8" i="18"/>
  <c r="C8" i="18"/>
  <c r="A8" i="18"/>
  <c r="M33" i="30"/>
  <c r="M17" i="30"/>
  <c r="M16" i="30"/>
  <c r="M15" i="30"/>
  <c r="M14" i="30"/>
  <c r="M13" i="30"/>
  <c r="M12" i="30"/>
  <c r="M11" i="30"/>
  <c r="M10" i="30"/>
  <c r="M9" i="30"/>
  <c r="P3" i="30"/>
  <c r="M3" i="30"/>
  <c r="B9" i="35" s="1"/>
  <c r="J3" i="30"/>
  <c r="G3" i="30"/>
  <c r="D3" i="30"/>
  <c r="E10" i="39" s="1"/>
  <c r="N48" i="22"/>
  <c r="N47" i="22"/>
  <c r="N46" i="22"/>
  <c r="N45" i="22"/>
  <c r="N44" i="22"/>
  <c r="M48" i="22"/>
  <c r="M47" i="22"/>
  <c r="M46" i="22"/>
  <c r="M45" i="22"/>
  <c r="M44" i="22"/>
  <c r="N42" i="22"/>
  <c r="N41" i="22"/>
  <c r="N40" i="22"/>
  <c r="N39" i="22"/>
  <c r="N38" i="22"/>
  <c r="M42" i="22"/>
  <c r="M41" i="22"/>
  <c r="M40" i="22"/>
  <c r="M39" i="22"/>
  <c r="M38" i="22"/>
  <c r="E10" i="26" l="1"/>
  <c r="K37" i="30"/>
  <c r="M37" i="30" s="1"/>
  <c r="K36" i="30"/>
  <c r="M36" i="30" s="1"/>
  <c r="B8" i="18"/>
  <c r="N21" i="18"/>
  <c r="F8" i="18"/>
  <c r="A100" i="26"/>
  <c r="B173" i="30" l="1"/>
  <c r="B139" i="30"/>
  <c r="J144" i="30" l="1"/>
  <c r="L144" i="30" s="1"/>
  <c r="J146" i="30"/>
  <c r="L146" i="30" s="1"/>
  <c r="J145" i="30"/>
  <c r="L145" i="30" s="1"/>
  <c r="K15" i="22"/>
  <c r="N145" i="30" l="1"/>
  <c r="N146" i="30"/>
  <c r="N144" i="30"/>
  <c r="C49" i="30"/>
  <c r="D180" i="30" s="1"/>
  <c r="H180" i="30" s="1"/>
  <c r="L180" i="30" s="1"/>
  <c r="J15" i="22"/>
  <c r="P180" i="30" l="1"/>
  <c r="Q180" i="30" s="1"/>
  <c r="N180" i="30"/>
  <c r="C48" i="30"/>
  <c r="B171" i="30" s="1"/>
  <c r="E32" i="22"/>
  <c r="E31" i="22"/>
  <c r="G91" i="39" s="1"/>
  <c r="D32" i="22"/>
  <c r="D31" i="22"/>
  <c r="D91" i="39" s="1"/>
  <c r="C32" i="22"/>
  <c r="C31" i="22"/>
  <c r="D172" i="30" l="1"/>
  <c r="H172" i="30" s="1"/>
  <c r="B91" i="30"/>
  <c r="C91" i="30"/>
  <c r="D91" i="30"/>
  <c r="E91" i="30"/>
  <c r="F91" i="30"/>
  <c r="H158" i="26" l="1"/>
  <c r="H159" i="26" l="1"/>
  <c r="B23" i="38" l="1"/>
  <c r="F107" i="39"/>
  <c r="F120" i="39" s="1"/>
  <c r="F108" i="39"/>
  <c r="F110" i="39"/>
  <c r="E6" i="38"/>
  <c r="F107" i="26"/>
  <c r="G93" i="26"/>
  <c r="G92" i="26"/>
  <c r="I91" i="26"/>
  <c r="G91" i="26"/>
  <c r="D91" i="26"/>
  <c r="I94" i="26"/>
  <c r="D94" i="26"/>
  <c r="F110" i="26" l="1"/>
  <c r="F109" i="39"/>
  <c r="F108" i="26"/>
  <c r="J107" i="39"/>
  <c r="N15" i="22"/>
  <c r="J3" i="39" s="1"/>
  <c r="J119" i="39" l="1"/>
  <c r="J38" i="39"/>
  <c r="J80" i="39"/>
  <c r="B21" i="38"/>
  <c r="B22" i="38" s="1"/>
  <c r="J108" i="39"/>
  <c r="J3" i="26"/>
  <c r="J80" i="26" s="1"/>
  <c r="F109" i="26"/>
  <c r="J107" i="26"/>
  <c r="J108" i="26" l="1"/>
  <c r="J38" i="26"/>
  <c r="J119" i="26"/>
  <c r="J109" i="26" l="1"/>
  <c r="J109" i="39"/>
  <c r="J110" i="39"/>
  <c r="O163" i="22"/>
  <c r="O162" i="22"/>
  <c r="O161" i="22"/>
  <c r="O160" i="22"/>
  <c r="O159" i="22"/>
  <c r="N163" i="22"/>
  <c r="N162" i="22"/>
  <c r="N161" i="22"/>
  <c r="N160" i="22"/>
  <c r="N159" i="22"/>
  <c r="M163" i="22"/>
  <c r="M162" i="22"/>
  <c r="M161" i="22"/>
  <c r="M160" i="22"/>
  <c r="M159" i="22"/>
  <c r="L163" i="22"/>
  <c r="L162" i="22"/>
  <c r="L161" i="22"/>
  <c r="L160" i="22"/>
  <c r="L159" i="22"/>
  <c r="J159" i="22"/>
  <c r="K163" i="22"/>
  <c r="K162" i="22"/>
  <c r="K161" i="22"/>
  <c r="K160" i="22"/>
  <c r="K159" i="22"/>
  <c r="J163" i="22"/>
  <c r="J162" i="22"/>
  <c r="J161" i="22"/>
  <c r="J160" i="22"/>
  <c r="F163" i="22"/>
  <c r="F162" i="22"/>
  <c r="F161" i="22"/>
  <c r="F160" i="22"/>
  <c r="F159" i="22"/>
  <c r="E163" i="22"/>
  <c r="E162" i="22"/>
  <c r="E161" i="22"/>
  <c r="E160" i="22"/>
  <c r="E159" i="22"/>
  <c r="D163" i="22"/>
  <c r="D162" i="22"/>
  <c r="D161" i="22"/>
  <c r="D160" i="22"/>
  <c r="D159" i="22"/>
  <c r="J110" i="26" l="1"/>
  <c r="R101" i="22"/>
  <c r="I161" i="22" s="1"/>
  <c r="Q101" i="22"/>
  <c r="H161" i="22" s="1"/>
  <c r="P101" i="22"/>
  <c r="G161" i="22" s="1"/>
  <c r="R90" i="22"/>
  <c r="I160" i="22" s="1"/>
  <c r="Q90" i="22"/>
  <c r="H160" i="22" s="1"/>
  <c r="P90" i="22"/>
  <c r="G160" i="22" s="1"/>
  <c r="P79" i="22"/>
  <c r="G163" i="22" s="1"/>
  <c r="R79" i="22"/>
  <c r="I163" i="22" s="1"/>
  <c r="Q79" i="22"/>
  <c r="H163" i="22" s="1"/>
  <c r="R68" i="22"/>
  <c r="I162" i="22" s="1"/>
  <c r="Q68" i="22"/>
  <c r="H162" i="22" s="1"/>
  <c r="P68" i="22"/>
  <c r="G162" i="22" s="1"/>
  <c r="I159" i="22"/>
  <c r="Q58" i="22"/>
  <c r="H159" i="22" s="1"/>
  <c r="P58" i="22"/>
  <c r="G159" i="22" s="1"/>
  <c r="C163" i="22"/>
  <c r="C162" i="22"/>
  <c r="C161" i="22"/>
  <c r="C160" i="22"/>
  <c r="C159" i="22"/>
  <c r="B163" i="22"/>
  <c r="B162" i="22"/>
  <c r="B160" i="22"/>
  <c r="F66" i="30" s="1"/>
  <c r="B161" i="22"/>
  <c r="F157" i="22"/>
  <c r="E157" i="22"/>
  <c r="D157" i="22"/>
  <c r="C157" i="22"/>
  <c r="B65" i="30" l="1"/>
  <c r="F65" i="30"/>
  <c r="C64" i="30"/>
  <c r="B64" i="30"/>
  <c r="E64" i="30"/>
  <c r="D66" i="30"/>
  <c r="E66" i="30"/>
  <c r="D65" i="30"/>
  <c r="C65" i="30"/>
  <c r="E65" i="30"/>
  <c r="D64" i="30"/>
  <c r="F64" i="30"/>
  <c r="C66" i="30"/>
  <c r="B66" i="30"/>
  <c r="D178" i="30"/>
  <c r="H178" i="30" s="1"/>
  <c r="B143" i="30"/>
  <c r="B113" i="30"/>
  <c r="B121" i="30"/>
  <c r="B117" i="30"/>
  <c r="B70" i="30"/>
  <c r="B74" i="30"/>
  <c r="E70" i="30"/>
  <c r="E90" i="30" s="1"/>
  <c r="E74" i="30"/>
  <c r="D70" i="30"/>
  <c r="D90" i="30" s="1"/>
  <c r="D74" i="30"/>
  <c r="C70" i="30"/>
  <c r="C90" i="30" s="1"/>
  <c r="C74" i="30"/>
  <c r="F70" i="30"/>
  <c r="F90" i="30" s="1"/>
  <c r="F74" i="30"/>
  <c r="L12" i="35"/>
  <c r="L11" i="35"/>
  <c r="K12" i="35"/>
  <c r="K11" i="35"/>
  <c r="F12" i="35"/>
  <c r="E12" i="35"/>
  <c r="F11" i="35"/>
  <c r="E11" i="35"/>
  <c r="J12" i="35"/>
  <c r="J11" i="35"/>
  <c r="D12" i="35"/>
  <c r="D11" i="35"/>
  <c r="S28" i="22"/>
  <c r="F76" i="26" s="1"/>
  <c r="T28" i="22"/>
  <c r="I76" i="26" s="1"/>
  <c r="R28" i="22"/>
  <c r="C76" i="26" s="1"/>
  <c r="R27" i="22"/>
  <c r="S27" i="22"/>
  <c r="T27" i="22"/>
  <c r="L19" i="18"/>
  <c r="L20" i="18"/>
  <c r="L21" i="18"/>
  <c r="B167" i="30" l="1"/>
  <c r="B90" i="30"/>
  <c r="B165" i="30"/>
  <c r="B125" i="30"/>
  <c r="B126" i="30" s="1"/>
  <c r="D112" i="30" s="1"/>
  <c r="H112" i="30" s="1"/>
  <c r="L112" i="30" s="1"/>
  <c r="F89" i="30"/>
  <c r="F92" i="30" s="1"/>
  <c r="D89" i="30"/>
  <c r="D92" i="30" s="1"/>
  <c r="B89" i="30"/>
  <c r="J120" i="30"/>
  <c r="L120" i="30" s="1"/>
  <c r="N120" i="30" s="1"/>
  <c r="J124" i="30"/>
  <c r="L124" i="30" s="1"/>
  <c r="N124" i="30" s="1"/>
  <c r="J119" i="30"/>
  <c r="L119" i="30" s="1"/>
  <c r="N119" i="30" s="1"/>
  <c r="J123" i="30"/>
  <c r="L123" i="30" s="1"/>
  <c r="N123" i="30" s="1"/>
  <c r="J118" i="30"/>
  <c r="L118" i="30" s="1"/>
  <c r="N118" i="30" s="1"/>
  <c r="J122" i="30"/>
  <c r="L122" i="30" s="1"/>
  <c r="J115" i="30"/>
  <c r="L115" i="30" s="1"/>
  <c r="N115" i="30" s="1"/>
  <c r="J114" i="30"/>
  <c r="L114" i="30" s="1"/>
  <c r="N114" i="30" s="1"/>
  <c r="J116" i="30"/>
  <c r="L116" i="30" s="1"/>
  <c r="N116" i="30" s="1"/>
  <c r="J141" i="30"/>
  <c r="L141" i="30" s="1"/>
  <c r="J142" i="30"/>
  <c r="L142" i="30" s="1"/>
  <c r="J140" i="30"/>
  <c r="L140" i="30" s="1"/>
  <c r="B147" i="30"/>
  <c r="D136" i="30" s="1"/>
  <c r="H136" i="30" s="1"/>
  <c r="L136" i="30" s="1"/>
  <c r="N122" i="30"/>
  <c r="C89" i="30"/>
  <c r="C92" i="30" s="1"/>
  <c r="E89" i="30"/>
  <c r="E92" i="30" s="1"/>
  <c r="P3" i="18"/>
  <c r="J3" i="18"/>
  <c r="G3" i="18"/>
  <c r="D3" i="18"/>
  <c r="B3" i="18"/>
  <c r="J176" i="30" l="1"/>
  <c r="L176" i="30" s="1"/>
  <c r="J177" i="30"/>
  <c r="L177" i="30" s="1"/>
  <c r="B92" i="30"/>
  <c r="D179" i="30" s="1"/>
  <c r="H179" i="30" s="1"/>
  <c r="L179" i="30" s="1"/>
  <c r="J161" i="30"/>
  <c r="L161" i="30" s="1"/>
  <c r="J156" i="30"/>
  <c r="L156" i="30" s="1"/>
  <c r="J157" i="30"/>
  <c r="L157" i="30" s="1"/>
  <c r="J164" i="30"/>
  <c r="J159" i="30"/>
  <c r="L159" i="30" s="1"/>
  <c r="J163" i="30"/>
  <c r="L163" i="30" s="1"/>
  <c r="J158" i="30"/>
  <c r="L158" i="30" s="1"/>
  <c r="J162" i="30"/>
  <c r="L162" i="30" s="1"/>
  <c r="B184" i="30"/>
  <c r="J175" i="30"/>
  <c r="L175" i="30" s="1"/>
  <c r="J166" i="30"/>
  <c r="J170" i="30"/>
  <c r="L170" i="30" s="1"/>
  <c r="J178" i="30"/>
  <c r="L178" i="30" s="1"/>
  <c r="J172" i="30"/>
  <c r="L172" i="30" s="1"/>
  <c r="J174" i="30"/>
  <c r="L174" i="30" s="1"/>
  <c r="J168" i="30"/>
  <c r="L164" i="30"/>
  <c r="N141" i="30"/>
  <c r="N136" i="30"/>
  <c r="N140" i="30"/>
  <c r="N142" i="30"/>
  <c r="N112" i="30"/>
  <c r="N125" i="30" s="1"/>
  <c r="N128" i="30" s="1"/>
  <c r="D166" i="30" s="1"/>
  <c r="H166" i="30" s="1"/>
  <c r="E29" i="26"/>
  <c r="D8" i="26"/>
  <c r="D7" i="26"/>
  <c r="D6" i="26"/>
  <c r="P177" i="30" l="1"/>
  <c r="Q177" i="30" s="1"/>
  <c r="N177" i="30"/>
  <c r="P176" i="30"/>
  <c r="Q176" i="30" s="1"/>
  <c r="N176" i="30"/>
  <c r="G92" i="30"/>
  <c r="D98" i="30" s="1"/>
  <c r="D100" i="30" s="1"/>
  <c r="D99" i="30" s="1"/>
  <c r="L166" i="30"/>
  <c r="P166" i="30" s="1"/>
  <c r="P156" i="30"/>
  <c r="Q156" i="30" s="1"/>
  <c r="P179" i="30"/>
  <c r="Q179" i="30" s="1"/>
  <c r="N179" i="30"/>
  <c r="N162" i="30"/>
  <c r="P162" i="30"/>
  <c r="Q162" i="30" s="1"/>
  <c r="N163" i="30"/>
  <c r="P163" i="30"/>
  <c r="Q163" i="30" s="1"/>
  <c r="N157" i="30"/>
  <c r="P157" i="30"/>
  <c r="Q157" i="30" s="1"/>
  <c r="N174" i="30"/>
  <c r="P174" i="30"/>
  <c r="Q174" i="30" s="1"/>
  <c r="P158" i="30"/>
  <c r="Q158" i="30" s="1"/>
  <c r="N158" i="30"/>
  <c r="P172" i="30"/>
  <c r="Q172" i="30" s="1"/>
  <c r="N172" i="30"/>
  <c r="N161" i="30"/>
  <c r="P161" i="30"/>
  <c r="Q161" i="30" s="1"/>
  <c r="N159" i="30"/>
  <c r="P159" i="30"/>
  <c r="Q159" i="30" s="1"/>
  <c r="P178" i="30"/>
  <c r="Q178" i="30" s="1"/>
  <c r="N178" i="30"/>
  <c r="P175" i="30"/>
  <c r="Q175" i="30" s="1"/>
  <c r="N175" i="30"/>
  <c r="P170" i="30"/>
  <c r="Q170" i="30" s="1"/>
  <c r="N170" i="30"/>
  <c r="N156" i="30"/>
  <c r="N164" i="30"/>
  <c r="P164" i="30"/>
  <c r="Q164" i="30" s="1"/>
  <c r="P116" i="30"/>
  <c r="P123" i="30"/>
  <c r="P120" i="30"/>
  <c r="P112" i="30"/>
  <c r="P122" i="30"/>
  <c r="P114" i="30"/>
  <c r="P119" i="30"/>
  <c r="N126" i="30"/>
  <c r="P115" i="30"/>
  <c r="P118" i="30"/>
  <c r="P124" i="30"/>
  <c r="N147" i="30"/>
  <c r="M26" i="22"/>
  <c r="G93" i="30" l="1"/>
  <c r="G94" i="30" s="1"/>
  <c r="B196" i="30" s="1"/>
  <c r="F102" i="39" s="1"/>
  <c r="N166" i="30"/>
  <c r="B194" i="30"/>
  <c r="B197" i="30" s="1"/>
  <c r="D97" i="30"/>
  <c r="D168" i="30"/>
  <c r="H168" i="30" s="1"/>
  <c r="L168" i="30" s="1"/>
  <c r="P136" i="30"/>
  <c r="O126" i="30"/>
  <c r="N127" i="30" s="1"/>
  <c r="Q166" i="30"/>
  <c r="P111" i="30"/>
  <c r="N148" i="30"/>
  <c r="P137" i="30"/>
  <c r="P138" i="30"/>
  <c r="P144" i="30"/>
  <c r="P146" i="30"/>
  <c r="P145" i="30"/>
  <c r="P141" i="30"/>
  <c r="P140" i="30"/>
  <c r="P142" i="30"/>
  <c r="G44" i="18"/>
  <c r="F100" i="39" l="1"/>
  <c r="B16" i="38"/>
  <c r="B17" i="38" s="1"/>
  <c r="F102" i="26"/>
  <c r="B195" i="30"/>
  <c r="F101" i="26" s="1"/>
  <c r="F100" i="26"/>
  <c r="G194" i="30"/>
  <c r="H194" i="30" s="1"/>
  <c r="B18" i="38"/>
  <c r="O148" i="30"/>
  <c r="N149" i="30" s="1"/>
  <c r="F103" i="39"/>
  <c r="F103" i="26"/>
  <c r="N168" i="30"/>
  <c r="N184" i="30" s="1"/>
  <c r="R177" i="30" s="1"/>
  <c r="P168" i="30"/>
  <c r="P135" i="30"/>
  <c r="K21" i="18"/>
  <c r="E43" i="18"/>
  <c r="G43" i="18"/>
  <c r="D12" i="18"/>
  <c r="K28" i="18" s="1"/>
  <c r="J44" i="18" s="1"/>
  <c r="R11" i="18"/>
  <c r="I43" i="18"/>
  <c r="E44" i="18"/>
  <c r="Q11" i="18"/>
  <c r="B159" i="26"/>
  <c r="B158" i="26"/>
  <c r="C109" i="26"/>
  <c r="I93" i="26"/>
  <c r="I92" i="26"/>
  <c r="D93" i="26"/>
  <c r="D92" i="26"/>
  <c r="E17" i="26"/>
  <c r="E21" i="26"/>
  <c r="E16" i="26"/>
  <c r="E15" i="26"/>
  <c r="J7" i="18"/>
  <c r="I19" i="18"/>
  <c r="K22" i="18" s="1"/>
  <c r="I20" i="18"/>
  <c r="J22" i="18" s="1"/>
  <c r="J21" i="18"/>
  <c r="K25" i="22"/>
  <c r="K26" i="22"/>
  <c r="E47" i="18"/>
  <c r="G48" i="18"/>
  <c r="J47" i="18"/>
  <c r="I45" i="18"/>
  <c r="I49" i="18" s="1"/>
  <c r="G47" i="18"/>
  <c r="H47" i="18" s="1"/>
  <c r="J45" i="18"/>
  <c r="G45" i="18"/>
  <c r="E45" i="18"/>
  <c r="I44" i="18"/>
  <c r="F19" i="18"/>
  <c r="F20" i="18"/>
  <c r="V20" i="18"/>
  <c r="V19" i="18"/>
  <c r="V18" i="18"/>
  <c r="D44" i="18" s="1"/>
  <c r="I12" i="18"/>
  <c r="F101" i="39" l="1"/>
  <c r="G196" i="30"/>
  <c r="G197" i="30" s="1"/>
  <c r="G195" i="30"/>
  <c r="H195" i="30" s="1"/>
  <c r="J101" i="39" s="1"/>
  <c r="E5" i="38"/>
  <c r="Q168" i="30"/>
  <c r="N185" i="30" s="1"/>
  <c r="O185" i="30" s="1"/>
  <c r="N186" i="30" s="1"/>
  <c r="J100" i="26"/>
  <c r="J100" i="39"/>
  <c r="L194" i="30"/>
  <c r="L195" i="30" s="1"/>
  <c r="L47" i="18"/>
  <c r="N47" i="18" s="1"/>
  <c r="H15" i="22"/>
  <c r="H45" i="18"/>
  <c r="L45" i="18" s="1"/>
  <c r="N45" i="18" s="1"/>
  <c r="A107" i="26"/>
  <c r="I48" i="18"/>
  <c r="J19" i="18"/>
  <c r="K20" i="18" s="1"/>
  <c r="I47" i="18"/>
  <c r="C107" i="26"/>
  <c r="F114" i="26" s="1"/>
  <c r="P20" i="18"/>
  <c r="P21" i="18"/>
  <c r="C22" i="18"/>
  <c r="C21" i="18"/>
  <c r="E48" i="18" s="1"/>
  <c r="H48" i="18" s="1"/>
  <c r="L48" i="18" s="1"/>
  <c r="N48" i="18" s="1"/>
  <c r="O18" i="18"/>
  <c r="M20" i="18" s="1"/>
  <c r="T12" i="18" s="1"/>
  <c r="U12" i="18" s="1"/>
  <c r="V12" i="18" s="1"/>
  <c r="K26" i="18"/>
  <c r="K30" i="18"/>
  <c r="K32" i="18" s="1"/>
  <c r="H43" i="18"/>
  <c r="D43" i="18"/>
  <c r="H196" i="30" l="1"/>
  <c r="H197" i="30" s="1"/>
  <c r="J101" i="26"/>
  <c r="C194" i="30"/>
  <c r="R181" i="30"/>
  <c r="R182" i="30"/>
  <c r="R180" i="30"/>
  <c r="R178" i="30"/>
  <c r="R174" i="30"/>
  <c r="R156" i="30"/>
  <c r="R175" i="30"/>
  <c r="R158" i="30"/>
  <c r="R179" i="30"/>
  <c r="R161" i="30"/>
  <c r="R162" i="30"/>
  <c r="R163" i="30"/>
  <c r="R157" i="30"/>
  <c r="R176" i="30"/>
  <c r="R159" i="30"/>
  <c r="R166" i="30"/>
  <c r="R164" i="30"/>
  <c r="R172" i="30"/>
  <c r="R170" i="30"/>
  <c r="R168" i="30"/>
  <c r="E22" i="39"/>
  <c r="C46" i="30"/>
  <c r="M194" i="30"/>
  <c r="I15" i="22"/>
  <c r="E22" i="26"/>
  <c r="G32" i="22"/>
  <c r="G31" i="22"/>
  <c r="I25" i="22"/>
  <c r="C108" i="26"/>
  <c r="Q21" i="18"/>
  <c r="H44" i="18" s="1"/>
  <c r="L44" i="18" s="1"/>
  <c r="N44" i="18" s="1"/>
  <c r="M19" i="18"/>
  <c r="T11" i="18" s="1"/>
  <c r="U11" i="18" s="1"/>
  <c r="V11" i="18" s="1"/>
  <c r="M21" i="18"/>
  <c r="T13" i="18" s="1"/>
  <c r="U13" i="18" s="1"/>
  <c r="V13" i="18" s="1"/>
  <c r="L43" i="18"/>
  <c r="N43" i="18" s="1"/>
  <c r="J102" i="39" l="1"/>
  <c r="J102" i="26"/>
  <c r="J103" i="39"/>
  <c r="J103" i="26"/>
  <c r="R183" i="30"/>
  <c r="L193" i="30"/>
  <c r="C196" i="30"/>
  <c r="C197" i="30" s="1"/>
  <c r="E197" i="30" s="1"/>
  <c r="E194" i="30"/>
  <c r="C195" i="30"/>
  <c r="E195" i="30" s="1"/>
  <c r="C47" i="30"/>
  <c r="H107" i="39"/>
  <c r="I26" i="22"/>
  <c r="U15" i="18"/>
  <c r="U16" i="18" s="1"/>
  <c r="U14" i="18"/>
  <c r="D42" i="18" s="1"/>
  <c r="V15" i="18"/>
  <c r="V16" i="18" s="1"/>
  <c r="H49" i="18" s="1"/>
  <c r="L49" i="18" s="1"/>
  <c r="N49" i="18" s="1"/>
  <c r="N50" i="18" s="1"/>
  <c r="V14" i="18"/>
  <c r="C56" i="18" s="1"/>
  <c r="C126" i="39" s="1"/>
  <c r="N188" i="30" l="1"/>
  <c r="N187" i="30"/>
  <c r="H100" i="26"/>
  <c r="F5" i="38" s="1"/>
  <c r="G7" i="38" s="1"/>
  <c r="H100" i="39"/>
  <c r="H108" i="39"/>
  <c r="H107" i="26"/>
  <c r="F6" i="38" s="1"/>
  <c r="I194" i="30"/>
  <c r="F120" i="26"/>
  <c r="C57" i="18"/>
  <c r="C127" i="39" s="1"/>
  <c r="C126" i="26"/>
  <c r="D56" i="18"/>
  <c r="F56" i="18" s="1"/>
  <c r="F126" i="39" s="1"/>
  <c r="N53" i="18"/>
  <c r="G5" i="38" l="1"/>
  <c r="H5" i="38" s="1"/>
  <c r="I5" i="38" s="1"/>
  <c r="K100" i="26" s="1"/>
  <c r="H101" i="26"/>
  <c r="H101" i="39"/>
  <c r="H7" i="38"/>
  <c r="I7" i="38" s="1"/>
  <c r="G11" i="38"/>
  <c r="H11" i="38" s="1"/>
  <c r="G13" i="38"/>
  <c r="H13" i="38" s="1"/>
  <c r="I13" i="38" s="1"/>
  <c r="H109" i="39"/>
  <c r="H108" i="26"/>
  <c r="E196" i="30"/>
  <c r="I195" i="30"/>
  <c r="D57" i="18"/>
  <c r="D58" i="18" s="1"/>
  <c r="C127" i="26"/>
  <c r="C58" i="18"/>
  <c r="C128" i="39" s="1"/>
  <c r="F126" i="26"/>
  <c r="P53" i="18"/>
  <c r="O53" i="18"/>
  <c r="N51" i="18" s="1"/>
  <c r="H102" i="26" l="1"/>
  <c r="H102" i="39"/>
  <c r="H103" i="26"/>
  <c r="H103" i="39"/>
  <c r="H110" i="26"/>
  <c r="H110" i="39"/>
  <c r="K100" i="39"/>
  <c r="G8" i="38"/>
  <c r="I11" i="38"/>
  <c r="K107" i="26" s="1"/>
  <c r="H109" i="26"/>
  <c r="I196" i="30"/>
  <c r="I197" i="30" s="1"/>
  <c r="C128" i="26"/>
  <c r="F57" i="18"/>
  <c r="F127" i="39" s="1"/>
  <c r="K107" i="39" l="1"/>
  <c r="G14" i="38"/>
  <c r="F58" i="18"/>
  <c r="F128" i="39" s="1"/>
  <c r="F127" i="26"/>
  <c r="F128" i="2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STIVINSON</author>
    <author>tc={F4C78DFD-55AB-4778-B6B3-60BA6BB83573}</author>
  </authors>
  <commentList>
    <comment ref="M29" authorId="0" shapeId="0" xr:uid="{00000000-0006-0000-0000-000001000000}">
      <text>
        <r>
          <rPr>
            <b/>
            <sz val="9"/>
            <color indexed="81"/>
            <rFont val="Tahoma"/>
            <family val="2"/>
          </rPr>
          <t xml:space="preserve">CERTIFICADO: INM RVP # 5053 - 2020-12-17 </t>
        </r>
        <r>
          <rPr>
            <sz val="9"/>
            <color indexed="81"/>
            <rFont val="Tahoma"/>
            <family val="2"/>
          </rPr>
          <t xml:space="preserve">
</t>
        </r>
      </text>
    </comment>
    <comment ref="N29" authorId="0" shapeId="0" xr:uid="{00000000-0006-0000-0000-000002000000}">
      <text>
        <r>
          <rPr>
            <b/>
            <sz val="9"/>
            <color indexed="81"/>
            <rFont val="Tahoma"/>
            <family val="2"/>
          </rPr>
          <t>CERTIFICADO: INM RVP # 3688 2018-11-02 INM RVT # 3692 2018-11-06</t>
        </r>
        <r>
          <rPr>
            <sz val="9"/>
            <color indexed="81"/>
            <rFont val="Tahoma"/>
            <family val="2"/>
          </rPr>
          <t xml:space="preserve">
</t>
        </r>
      </text>
    </comment>
    <comment ref="Q36" authorId="1" shapeId="0" xr:uid="{00000000-0006-0000-0000-00000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Puntos de calibración anterior 2019</t>
      </text>
    </comment>
    <comment ref="N111" authorId="0" shapeId="0" xr:uid="{00000000-0006-0000-0000-000004000000}">
      <text>
        <r>
          <rPr>
            <sz val="9"/>
            <color indexed="81"/>
            <rFont val="Tahoma"/>
            <family val="2"/>
          </rPr>
          <t>punto de calibración al 10% según certificado</t>
        </r>
      </text>
    </comment>
    <comment ref="O111" authorId="0" shapeId="0" xr:uid="{00000000-0006-0000-0000-000005000000}">
      <text>
        <r>
          <rPr>
            <b/>
            <sz val="9"/>
            <color indexed="81"/>
            <rFont val="Tahoma"/>
            <family val="2"/>
          </rPr>
          <t>punto de calibración al 10% según certificado</t>
        </r>
        <r>
          <rPr>
            <sz val="9"/>
            <color indexed="81"/>
            <rFont val="Tahoma"/>
            <family val="2"/>
          </rPr>
          <t xml:space="preserve">
</t>
        </r>
      </text>
    </comment>
    <comment ref="Q111" authorId="0" shapeId="0" xr:uid="{00000000-0006-0000-0000-000006000000}">
      <text>
        <r>
          <rPr>
            <b/>
            <sz val="9"/>
            <color indexed="81"/>
            <rFont val="Tahoma"/>
            <family val="2"/>
          </rPr>
          <t>punto de calibración al 50% según certificado</t>
        </r>
        <r>
          <rPr>
            <sz val="9"/>
            <color indexed="81"/>
            <rFont val="Tahoma"/>
            <family val="2"/>
          </rPr>
          <t xml:space="preserve">
</t>
        </r>
      </text>
    </comment>
    <comment ref="R111" authorId="0" shapeId="0" xr:uid="{00000000-0006-0000-0000-000007000000}">
      <text>
        <r>
          <rPr>
            <b/>
            <sz val="9"/>
            <color indexed="81"/>
            <rFont val="Tahoma"/>
            <family val="2"/>
          </rPr>
          <t>punto de calibración al 50% según certificado</t>
        </r>
        <r>
          <rPr>
            <sz val="9"/>
            <color indexed="81"/>
            <rFont val="Tahoma"/>
            <family val="2"/>
          </rPr>
          <t xml:space="preserve">
</t>
        </r>
      </text>
    </comment>
    <comment ref="T111" authorId="0" shapeId="0" xr:uid="{00000000-0006-0000-0000-000008000000}">
      <text>
        <r>
          <rPr>
            <b/>
            <sz val="9"/>
            <color indexed="81"/>
            <rFont val="Tahoma"/>
            <family val="2"/>
          </rPr>
          <t>punto de calibración al 100% según certificado</t>
        </r>
        <r>
          <rPr>
            <sz val="9"/>
            <color indexed="81"/>
            <rFont val="Tahoma"/>
            <family val="2"/>
          </rPr>
          <t xml:space="preserve">
</t>
        </r>
      </text>
    </comment>
    <comment ref="U111" authorId="0" shapeId="0" xr:uid="{00000000-0006-0000-0000-000009000000}">
      <text>
        <r>
          <rPr>
            <b/>
            <sz val="9"/>
            <color indexed="81"/>
            <rFont val="Tahoma"/>
            <family val="2"/>
          </rPr>
          <t>punto de calibración al 100% según certificado</t>
        </r>
        <r>
          <rPr>
            <sz val="9"/>
            <color indexed="81"/>
            <rFont val="Tahoma"/>
            <family val="2"/>
          </rPr>
          <t xml:space="preserve">
</t>
        </r>
      </text>
    </comment>
    <comment ref="R120" authorId="0" shapeId="0" xr:uid="{00000000-0006-0000-0000-00000A000000}">
      <text>
        <r>
          <rPr>
            <sz val="9"/>
            <color indexed="81"/>
            <rFont val="Tahoma"/>
            <family val="2"/>
          </rPr>
          <t>punto de calibración al 10% según certificado</t>
        </r>
      </text>
    </comment>
    <comment ref="S120" authorId="0" shapeId="0" xr:uid="{00000000-0006-0000-0000-00000B000000}">
      <text>
        <r>
          <rPr>
            <b/>
            <sz val="9"/>
            <color indexed="81"/>
            <rFont val="Tahoma"/>
            <family val="2"/>
          </rPr>
          <t>punto de calibración al 10% según certificado</t>
        </r>
        <r>
          <rPr>
            <sz val="9"/>
            <color indexed="81"/>
            <rFont val="Tahoma"/>
            <family val="2"/>
          </rPr>
          <t xml:space="preserve">
</t>
        </r>
      </text>
    </comment>
    <comment ref="U120" authorId="0" shapeId="0" xr:uid="{00000000-0006-0000-0000-00000C000000}">
      <text>
        <r>
          <rPr>
            <b/>
            <sz val="9"/>
            <color indexed="81"/>
            <rFont val="Tahoma"/>
            <family val="2"/>
          </rPr>
          <t>punto de calibración al 50% según certificado</t>
        </r>
        <r>
          <rPr>
            <sz val="9"/>
            <color indexed="81"/>
            <rFont val="Tahoma"/>
            <family val="2"/>
          </rPr>
          <t xml:space="preserve">
</t>
        </r>
      </text>
    </comment>
    <comment ref="V120" authorId="0" shapeId="0" xr:uid="{00000000-0006-0000-0000-00000D000000}">
      <text>
        <r>
          <rPr>
            <b/>
            <sz val="9"/>
            <color indexed="81"/>
            <rFont val="Tahoma"/>
            <family val="2"/>
          </rPr>
          <t>punto de calibración al 50% según certificado</t>
        </r>
        <r>
          <rPr>
            <sz val="9"/>
            <color indexed="81"/>
            <rFont val="Tahoma"/>
            <family val="2"/>
          </rPr>
          <t xml:space="preserve">
</t>
        </r>
      </text>
    </comment>
    <comment ref="X120" authorId="0" shapeId="0" xr:uid="{00000000-0006-0000-0000-00000E000000}">
      <text>
        <r>
          <rPr>
            <b/>
            <sz val="9"/>
            <color indexed="81"/>
            <rFont val="Tahoma"/>
            <family val="2"/>
          </rPr>
          <t>punto de calibración al 100% según certificado</t>
        </r>
        <r>
          <rPr>
            <sz val="9"/>
            <color indexed="81"/>
            <rFont val="Tahoma"/>
            <family val="2"/>
          </rPr>
          <t xml:space="preserve">
</t>
        </r>
      </text>
    </comment>
    <comment ref="Y120" authorId="0" shapeId="0" xr:uid="{00000000-0006-0000-0000-00000F000000}">
      <text>
        <r>
          <rPr>
            <b/>
            <sz val="9"/>
            <color indexed="81"/>
            <rFont val="Tahoma"/>
            <family val="2"/>
          </rPr>
          <t>punto de calibración al 100% según certificado</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Stivinson Cordoba Sanches</author>
  </authors>
  <commentList>
    <comment ref="E32" authorId="0" shapeId="0" xr:uid="{00000000-0006-0000-0200-000001000000}">
      <text>
        <r>
          <rPr>
            <b/>
            <sz val="9"/>
            <color indexed="81"/>
            <rFont val="Tahoma"/>
            <family val="2"/>
          </rPr>
          <t>composición isotópica del agua</t>
        </r>
      </text>
    </comment>
    <comment ref="I32" authorId="0" shapeId="0" xr:uid="{00000000-0006-0000-0200-000002000000}">
      <text>
        <r>
          <rPr>
            <b/>
            <sz val="9"/>
            <color indexed="81"/>
            <rFont val="Tahoma"/>
            <family val="2"/>
          </rPr>
          <t>incertidumbre del modelo matemático (TANAKA)</t>
        </r>
        <r>
          <rPr>
            <sz val="9"/>
            <color indexed="81"/>
            <rFont val="Tahoma"/>
            <family val="2"/>
          </rPr>
          <t xml:space="preserve">
</t>
        </r>
      </text>
    </comment>
    <comment ref="D158" authorId="1" shapeId="0" xr:uid="{00000000-0006-0000-0200-000003000000}">
      <text>
        <r>
          <rPr>
            <sz val="9"/>
            <color indexed="81"/>
            <rFont val="Tahoma"/>
            <family val="2"/>
          </rPr>
          <t xml:space="preserve">
los datos reportados de excentricidad son tomados del certificado de calibración</t>
        </r>
      </text>
    </comment>
    <comment ref="D163" authorId="1" shapeId="0" xr:uid="{00000000-0006-0000-0200-000004000000}">
      <text>
        <r>
          <rPr>
            <sz val="9"/>
            <color indexed="81"/>
            <rFont val="Tahoma"/>
            <family val="2"/>
          </rPr>
          <t xml:space="preserve">
los datos reportados de excentricidad son tomados del certificado de calibración</t>
        </r>
      </text>
    </comment>
  </commentList>
</comments>
</file>

<file path=xl/sharedStrings.xml><?xml version="1.0" encoding="utf-8"?>
<sst xmlns="http://schemas.openxmlformats.org/spreadsheetml/2006/main" count="1780" uniqueCount="752">
  <si>
    <t>RVC</t>
  </si>
  <si>
    <t>°C</t>
  </si>
  <si>
    <t>mL</t>
  </si>
  <si>
    <t>Rectangular</t>
  </si>
  <si>
    <t>U</t>
  </si>
  <si>
    <t>E</t>
  </si>
  <si>
    <t>gal</t>
  </si>
  <si>
    <t>1/°C</t>
  </si>
  <si>
    <t>∞</t>
  </si>
  <si>
    <t xml:space="preserve"> </t>
  </si>
  <si>
    <t>cm</t>
  </si>
  <si>
    <t>NOMBRE</t>
  </si>
  <si>
    <t>hPa</t>
  </si>
  <si>
    <t>Certificado de calibración</t>
  </si>
  <si>
    <t>E3</t>
  </si>
  <si>
    <t>Objeto:</t>
  </si>
  <si>
    <t>Número de Serie</t>
  </si>
  <si>
    <t>Temperatura</t>
  </si>
  <si>
    <t>Pipeta</t>
  </si>
  <si>
    <t>Temperatura de Referencia</t>
  </si>
  <si>
    <t>Capacidad nominal</t>
  </si>
  <si>
    <t>FIRMAS AUTORIZADAS:</t>
  </si>
  <si>
    <t>Firma Autorizada</t>
  </si>
  <si>
    <t>Presión atmosférica</t>
  </si>
  <si>
    <t>Material de construcción:</t>
  </si>
  <si>
    <t>Resolución:</t>
  </si>
  <si>
    <t>Fabricante</t>
  </si>
  <si>
    <t>Modelo</t>
  </si>
  <si>
    <t>Capacidad del RVC a la temperatura de referencia.</t>
  </si>
  <si>
    <t xml:space="preserve">Donde: </t>
  </si>
  <si>
    <t>Litros</t>
  </si>
  <si>
    <t>Mililitros</t>
  </si>
  <si>
    <t>Información del Cliente</t>
  </si>
  <si>
    <t>Solicitante</t>
  </si>
  <si>
    <t>Ciudad</t>
  </si>
  <si>
    <t>1.   INFORMACIÓN DEL EQUIPO SOMETIDO A CALIBRACIÓN</t>
  </si>
  <si>
    <t xml:space="preserve">Es el coeficiente de expansión térmica del material del RVP. </t>
  </si>
  <si>
    <t>Es la temperatura del líquido medida dentro del  RVP.</t>
  </si>
  <si>
    <t>Es el coeficiente de expansión térmica del agua.</t>
  </si>
  <si>
    <t>Es la temperatura del líquido medida dentro del RVC.</t>
  </si>
  <si>
    <t>Instrumento</t>
  </si>
  <si>
    <t>No. de Serie</t>
  </si>
  <si>
    <t>Trazabilidad</t>
  </si>
  <si>
    <t>DATOS DE LOS PATRONES</t>
  </si>
  <si>
    <t>Unidad</t>
  </si>
  <si>
    <t>Termómetro (RVP)</t>
  </si>
  <si>
    <t>Pie de Rey</t>
  </si>
  <si>
    <t>Nombre</t>
  </si>
  <si>
    <t>Valor nominal</t>
  </si>
  <si>
    <t>Serhapin test Measure</t>
  </si>
  <si>
    <t>Series "M"</t>
  </si>
  <si>
    <t>1 galón</t>
  </si>
  <si>
    <t>Hora de Inicio</t>
  </si>
  <si>
    <t>Hora final</t>
  </si>
  <si>
    <t>Temperatura de referencia</t>
  </si>
  <si>
    <t xml:space="preserve">División de escala  </t>
  </si>
  <si>
    <t>Presión Atmosférica</t>
  </si>
  <si>
    <t>Diámetro interno del cuello</t>
  </si>
  <si>
    <t>Ancho de los trazos de la escala</t>
  </si>
  <si>
    <t>Adicionar / Sustraer  (mL)</t>
  </si>
  <si>
    <t>COEFICIENTE DE SENSIBILIDAD CON RESPECTO AL VOLUMEN DE REFERENCIA (RVP)</t>
  </si>
  <si>
    <t>Derivadas Parciales</t>
  </si>
  <si>
    <t>PRESPUESTO DE INCERTIDUMBRE</t>
  </si>
  <si>
    <t>k</t>
  </si>
  <si>
    <t>Fuente Información</t>
  </si>
  <si>
    <t>Normal</t>
  </si>
  <si>
    <t>U expandida</t>
  </si>
  <si>
    <t>Resultados Finales</t>
  </si>
  <si>
    <t>│E│</t>
  </si>
  <si>
    <t>U corregida</t>
  </si>
  <si>
    <t>INTERPOLACION CERTIFICADO DE CALIBRACION</t>
  </si>
  <si>
    <t>ANALISIS DE DATOS INTERPOLACIÓN (mL)</t>
  </si>
  <si>
    <t>Numero de espacios (N)</t>
  </si>
  <si>
    <t>m</t>
  </si>
  <si>
    <t>y</t>
  </si>
  <si>
    <t>x</t>
  </si>
  <si>
    <t>Volumen calculado</t>
  </si>
  <si>
    <t>m     =</t>
  </si>
  <si>
    <t>Volumen nominal</t>
  </si>
  <si>
    <t>Volumen convencional</t>
  </si>
  <si>
    <t>Error</t>
  </si>
  <si>
    <t xml:space="preserve">Incertidumbre por interpolación </t>
  </si>
  <si>
    <t>1    (mm)</t>
  </si>
  <si>
    <t>2    (mm)</t>
  </si>
  <si>
    <t>3    (mm)</t>
  </si>
  <si>
    <t xml:space="preserve">   PROMEDIOS                  (mm)</t>
  </si>
  <si>
    <t>h min</t>
  </si>
  <si>
    <t>Litro</t>
  </si>
  <si>
    <t>Mililitro</t>
  </si>
  <si>
    <t>Respecto a D</t>
  </si>
  <si>
    <t xml:space="preserve">Respecto </t>
  </si>
  <si>
    <t>(ui(y))2</t>
  </si>
  <si>
    <t>Estimada</t>
  </si>
  <si>
    <t>Delta por Inhomogenidad</t>
  </si>
  <si>
    <t>2.   LUGAR Y DIRECCIÓN DE CALIBRACIÓN</t>
  </si>
  <si>
    <t>mm</t>
  </si>
  <si>
    <t>Luis Henry Barreto Rojas</t>
  </si>
  <si>
    <r>
      <t>y</t>
    </r>
    <r>
      <rPr>
        <b/>
        <vertAlign val="subscript"/>
        <sz val="12"/>
        <color theme="1"/>
        <rFont val="Arial"/>
        <family val="2"/>
      </rPr>
      <t>3</t>
    </r>
  </si>
  <si>
    <r>
      <t>y</t>
    </r>
    <r>
      <rPr>
        <b/>
        <vertAlign val="subscript"/>
        <sz val="12"/>
        <color theme="1"/>
        <rFont val="Arial"/>
        <family val="2"/>
      </rPr>
      <t>1</t>
    </r>
  </si>
  <si>
    <t>Incertidumbre del Certificado</t>
  </si>
  <si>
    <t>Fecha de Calibración</t>
  </si>
  <si>
    <t>División de Escala / Resolución</t>
  </si>
  <si>
    <t>Identificación             /  
Serie</t>
  </si>
  <si>
    <t>Coeficiente cubico de expansión térmico del material (IP)</t>
  </si>
  <si>
    <t>s</t>
  </si>
  <si>
    <t xml:space="preserve">Pipeta </t>
  </si>
  <si>
    <t xml:space="preserve">Probeta </t>
  </si>
  <si>
    <t>Pipetas</t>
  </si>
  <si>
    <t>Probetas</t>
  </si>
  <si>
    <t>Fecha de Recepción</t>
  </si>
  <si>
    <t>Certificado</t>
  </si>
  <si>
    <t>Unidades en  " °C "</t>
  </si>
  <si>
    <t>Unidades en    " mm "</t>
  </si>
  <si>
    <t>Unidades en    " s "</t>
  </si>
  <si>
    <t xml:space="preserve">Puntos para Interpolar según  Certificado </t>
  </si>
  <si>
    <t>Serie</t>
  </si>
  <si>
    <t>Capacidad Nominal en  " gal "</t>
  </si>
  <si>
    <t>NOMBRE DEL METRÓLOGO</t>
  </si>
  <si>
    <t>V-005</t>
  </si>
  <si>
    <t>V-001</t>
  </si>
  <si>
    <t xml:space="preserve">22,1014,1212,,005 / pt 347980,004     </t>
  </si>
  <si>
    <t xml:space="preserve">004,0816,1212,006 / pt 347980,002     </t>
  </si>
  <si>
    <t xml:space="preserve">004,0816,1212,006 / pt 347980,002    </t>
  </si>
  <si>
    <t>V-1</t>
  </si>
  <si>
    <t>V-2</t>
  </si>
  <si>
    <t>V-3</t>
  </si>
  <si>
    <t>V-4</t>
  </si>
  <si>
    <t>V-5</t>
  </si>
  <si>
    <t>V-6</t>
  </si>
  <si>
    <t>V-7</t>
  </si>
  <si>
    <t>V-8</t>
  </si>
  <si>
    <t>V-9</t>
  </si>
  <si>
    <t>V-10</t>
  </si>
  <si>
    <t>V-11</t>
  </si>
  <si>
    <t>V-14</t>
  </si>
  <si>
    <t>Corrección (Según Certificado)</t>
  </si>
  <si>
    <t>Factor de Cobertura (Según Certificado)</t>
  </si>
  <si>
    <t>No</t>
  </si>
  <si>
    <t>Diámetro interno del cuello (cm)</t>
  </si>
  <si>
    <t>Coeficiente cubico de expansión térmico del material ( °C-1)</t>
  </si>
  <si>
    <t>División de escala ( mL )</t>
  </si>
  <si>
    <t>Resolución ( mL )</t>
  </si>
  <si>
    <t>Ancho de los trazos de la escala (cm)</t>
  </si>
  <si>
    <t>Elvis Aguirre Romero</t>
  </si>
  <si>
    <r>
      <t>x</t>
    </r>
    <r>
      <rPr>
        <b/>
        <vertAlign val="subscript"/>
        <sz val="12"/>
        <color theme="1"/>
        <rFont val="Arial"/>
        <family val="2"/>
      </rPr>
      <t>1</t>
    </r>
  </si>
  <si>
    <r>
      <t>x</t>
    </r>
    <r>
      <rPr>
        <b/>
        <vertAlign val="subscript"/>
        <sz val="12"/>
        <color theme="1"/>
        <rFont val="Arial"/>
        <family val="2"/>
      </rPr>
      <t>2</t>
    </r>
  </si>
  <si>
    <r>
      <t>1 in</t>
    </r>
    <r>
      <rPr>
        <b/>
        <vertAlign val="superscript"/>
        <sz val="12"/>
        <color theme="1"/>
        <rFont val="Arial"/>
        <family val="2"/>
      </rPr>
      <t>3</t>
    </r>
  </si>
  <si>
    <r>
      <t>u (∆D</t>
    </r>
    <r>
      <rPr>
        <b/>
        <vertAlign val="subscript"/>
        <sz val="12"/>
        <color theme="1"/>
        <rFont val="Arial"/>
        <family val="2"/>
      </rPr>
      <t>inho</t>
    </r>
    <r>
      <rPr>
        <b/>
        <sz val="12"/>
        <color theme="1"/>
        <rFont val="Arial"/>
        <family val="2"/>
      </rPr>
      <t xml:space="preserve">) </t>
    </r>
    <r>
      <rPr>
        <b/>
        <vertAlign val="subscript"/>
        <sz val="12"/>
        <color theme="1"/>
        <rFont val="Arial"/>
        <family val="2"/>
      </rPr>
      <t xml:space="preserve"> (mL)</t>
    </r>
  </si>
  <si>
    <r>
      <t>in</t>
    </r>
    <r>
      <rPr>
        <vertAlign val="superscript"/>
        <sz val="12"/>
        <color theme="1"/>
        <rFont val="Arial"/>
        <family val="2"/>
      </rPr>
      <t>3</t>
    </r>
  </si>
  <si>
    <t xml:space="preserve">°C </t>
  </si>
  <si>
    <r>
      <t>División de escala   (in</t>
    </r>
    <r>
      <rPr>
        <b/>
        <vertAlign val="superscript"/>
        <sz val="10"/>
        <color theme="1"/>
        <rFont val="Arial"/>
        <family val="2"/>
      </rPr>
      <t>3</t>
    </r>
    <r>
      <rPr>
        <b/>
        <sz val="10"/>
        <color theme="1"/>
        <rFont val="Arial"/>
        <family val="2"/>
      </rPr>
      <t>)</t>
    </r>
    <r>
      <rPr>
        <b/>
        <vertAlign val="superscript"/>
        <sz val="10"/>
        <color theme="1"/>
        <rFont val="Arial"/>
        <family val="2"/>
      </rPr>
      <t xml:space="preserve"> </t>
    </r>
  </si>
  <si>
    <r>
      <t xml:space="preserve">0,5 </t>
    </r>
    <r>
      <rPr>
        <b/>
        <vertAlign val="superscript"/>
        <sz val="12"/>
        <color theme="1"/>
        <rFont val="Arial"/>
        <family val="2"/>
      </rPr>
      <t xml:space="preserve">   </t>
    </r>
    <r>
      <rPr>
        <b/>
        <sz val="12"/>
        <color theme="1"/>
        <rFont val="Arial"/>
        <family val="2"/>
      </rPr>
      <t>=</t>
    </r>
  </si>
  <si>
    <r>
      <t xml:space="preserve">1 </t>
    </r>
    <r>
      <rPr>
        <b/>
        <vertAlign val="superscript"/>
        <sz val="12"/>
        <color theme="1"/>
        <rFont val="Arial"/>
        <family val="2"/>
      </rPr>
      <t xml:space="preserve">   </t>
    </r>
    <r>
      <rPr>
        <b/>
        <sz val="12"/>
        <color theme="1"/>
        <rFont val="Arial"/>
        <family val="2"/>
      </rPr>
      <t>=</t>
    </r>
  </si>
  <si>
    <t># de Espacios</t>
  </si>
  <si>
    <t>Nominal</t>
  </si>
  <si>
    <r>
      <t>D</t>
    </r>
    <r>
      <rPr>
        <b/>
        <vertAlign val="subscript"/>
        <sz val="14"/>
        <color rgb="FFFFFFFF"/>
        <rFont val="Arial"/>
        <family val="2"/>
      </rPr>
      <t>promedio</t>
    </r>
  </si>
  <si>
    <r>
      <t>INTERVALO DE LA ESCALA DEL RV  EN  ±10 in</t>
    </r>
    <r>
      <rPr>
        <b/>
        <vertAlign val="superscript"/>
        <sz val="14"/>
        <color rgb="FFFFFFFF"/>
        <rFont val="Arial"/>
        <family val="2"/>
      </rPr>
      <t>3</t>
    </r>
  </si>
  <si>
    <t>Magnitud de entrada</t>
  </si>
  <si>
    <t>Valor estimado (xi)</t>
  </si>
  <si>
    <t>Incertidumbre original</t>
  </si>
  <si>
    <t>Contribución ui(y)</t>
  </si>
  <si>
    <t>Tipo de Distribución</t>
  </si>
  <si>
    <t>Identificación / serie</t>
  </si>
  <si>
    <t>Capacidad (Según Certificado)</t>
  </si>
  <si>
    <t>Identificación / Serie</t>
  </si>
  <si>
    <t>Capacidad  (Según Certificado)</t>
  </si>
  <si>
    <t>División de escala nominal:</t>
  </si>
  <si>
    <t>La escala fue verificada:</t>
  </si>
  <si>
    <t>…………………..Fin de este documento………………………</t>
  </si>
  <si>
    <t>Lufft Opus 20</t>
  </si>
  <si>
    <t>Brand</t>
  </si>
  <si>
    <t>Simax</t>
  </si>
  <si>
    <t>Mitutoyo</t>
  </si>
  <si>
    <t xml:space="preserve">Lufft </t>
  </si>
  <si>
    <t>Trazabilidad y numero</t>
  </si>
  <si>
    <t>Intervalo de Medición</t>
  </si>
  <si>
    <t>A</t>
  </si>
  <si>
    <t>Volumen Indicado Vsp</t>
  </si>
  <si>
    <t xml:space="preserve"> Capacidad según certificado       </t>
  </si>
  <si>
    <t xml:space="preserve">V suministrado al  RVC con probeta patrón           </t>
  </si>
  <si>
    <t>División de escala calculada al RVC        D=Vsp/N</t>
  </si>
  <si>
    <t>CONVERSIÓN</t>
  </si>
  <si>
    <t>Capacidad Nominal mL</t>
  </si>
  <si>
    <r>
      <t xml:space="preserve">Capacidad </t>
    </r>
    <r>
      <rPr>
        <b/>
        <sz val="8"/>
        <color theme="1"/>
        <rFont val="Arial"/>
        <family val="2"/>
      </rPr>
      <t>(Según Certificado) mL</t>
    </r>
  </si>
  <si>
    <t>División de Escala / Resolución mL</t>
  </si>
  <si>
    <t>Incertidumbre del Certificado mL</t>
  </si>
  <si>
    <r>
      <t xml:space="preserve">                      DATOS PROBETA PATRON                      (V</t>
    </r>
    <r>
      <rPr>
        <b/>
        <vertAlign val="subscript"/>
        <sz val="14"/>
        <color theme="0"/>
        <rFont val="Arial"/>
        <family val="2"/>
      </rPr>
      <t>sp</t>
    </r>
    <r>
      <rPr>
        <b/>
        <sz val="14"/>
        <color theme="0"/>
        <rFont val="Arial"/>
        <family val="2"/>
      </rPr>
      <t>) (mL)</t>
    </r>
  </si>
  <si>
    <t>LH</t>
  </si>
  <si>
    <t>EA</t>
  </si>
  <si>
    <t>Información Inicial</t>
  </si>
  <si>
    <t>N °  Certificado Adherido</t>
  </si>
  <si>
    <t>Equipos Patrón</t>
  </si>
  <si>
    <t>V-003    Punto 1</t>
  </si>
  <si>
    <t>V-003    Punto 2</t>
  </si>
  <si>
    <t>V-003    Punto 3</t>
  </si>
  <si>
    <t>CMC</t>
  </si>
  <si>
    <t>Unidades en    " mL"</t>
  </si>
  <si>
    <t>INM 2148</t>
  </si>
  <si>
    <t>INM 1831</t>
  </si>
  <si>
    <t>INM 2990</t>
  </si>
  <si>
    <t>INM 2981</t>
  </si>
  <si>
    <t>INM 2985</t>
  </si>
  <si>
    <t xml:space="preserve">MLP - 01          </t>
  </si>
  <si>
    <t>INM 2952</t>
  </si>
  <si>
    <t>INM 2964</t>
  </si>
  <si>
    <t>SIGMA No. 33295</t>
  </si>
  <si>
    <t>SIGMA No. 33291</t>
  </si>
  <si>
    <t>Precinto #</t>
  </si>
  <si>
    <t xml:space="preserve">Temperatura </t>
  </si>
  <si>
    <t>%</t>
  </si>
  <si>
    <t>HOJA DE CÁLCULO PARA CALIBRACIÓN DE RECIPIENTES VOLUMÉTRICOS</t>
  </si>
  <si>
    <t>Patrón Utilizado en la Calibración - Termo higrómetros</t>
  </si>
  <si>
    <t>Humedad</t>
  </si>
  <si>
    <t>Código Interno</t>
  </si>
  <si>
    <t>V-002</t>
  </si>
  <si>
    <t xml:space="preserve">M-012  </t>
  </si>
  <si>
    <t>CDT CERT-16-EMP-1057-2567</t>
  </si>
  <si>
    <t xml:space="preserve">M-013  </t>
  </si>
  <si>
    <t>M-010</t>
  </si>
  <si>
    <t>0,22.0714.0802.024</t>
  </si>
  <si>
    <t>INM 1997</t>
  </si>
  <si>
    <t>INM 2147</t>
  </si>
  <si>
    <t>M-011</t>
  </si>
  <si>
    <r>
      <t xml:space="preserve">N.C </t>
    </r>
    <r>
      <rPr>
        <b/>
        <i/>
        <sz val="12"/>
        <color theme="1"/>
        <rFont val="Arial"/>
        <family val="2"/>
      </rPr>
      <t>%</t>
    </r>
  </si>
  <si>
    <t>Ciudad del Solicitante</t>
  </si>
  <si>
    <t>Certificado N°</t>
  </si>
  <si>
    <t xml:space="preserve">Capacidad del RVP, a la temperatura de referencia hasta el trazo que indica su capacidad nominal de 5 galones.  </t>
  </si>
  <si>
    <t xml:space="preserve">Es la temperatura de referencia en el RVP, según certificado .                               </t>
  </si>
  <si>
    <t>Antes de ajuste</t>
  </si>
  <si>
    <t>3.   CÓDIGO INTERNO</t>
  </si>
  <si>
    <t>Código interno</t>
  </si>
  <si>
    <t>Incertidumbre Estándar Global</t>
  </si>
  <si>
    <t>V-003    Punto 4</t>
  </si>
  <si>
    <t>V-003    Punto 5</t>
  </si>
  <si>
    <t>C-I V-004</t>
  </si>
  <si>
    <t>C-I V-003</t>
  </si>
  <si>
    <t>Tipo de visor:</t>
  </si>
  <si>
    <t>Modelo:</t>
  </si>
  <si>
    <t>Fuera de Servicio</t>
  </si>
  <si>
    <t>Metrólogo de Masa y Volumen</t>
  </si>
  <si>
    <t>División de escala  (mL)</t>
  </si>
  <si>
    <t>Resolución (mL)</t>
  </si>
  <si>
    <t>Unidades en   ( mL )</t>
  </si>
  <si>
    <t>Capacidad del RVC</t>
  </si>
  <si>
    <t>Después de ajuste</t>
  </si>
  <si>
    <t xml:space="preserve"> ±</t>
  </si>
  <si>
    <t>Termómetro RVP *</t>
  </si>
  <si>
    <t>Termómetro RVC *</t>
  </si>
  <si>
    <t xml:space="preserve"> Recipiente Calibrado  en el  Laboratorio  SIC - (RVC)</t>
  </si>
  <si>
    <t>Incertidumbre dominante</t>
  </si>
  <si>
    <r>
      <t>ALTURAS DE ESPACIOS EN RV  ± 10 in</t>
    </r>
    <r>
      <rPr>
        <b/>
        <vertAlign val="superscript"/>
        <sz val="18"/>
        <color rgb="FFFFFFFF"/>
        <rFont val="Arial"/>
        <family val="2"/>
      </rPr>
      <t xml:space="preserve">3 </t>
    </r>
    <r>
      <rPr>
        <b/>
        <sz val="14"/>
        <color rgb="FFFFFFFF"/>
        <rFont val="Arial"/>
        <family val="2"/>
      </rPr>
      <t xml:space="preserve"> o  ± 1 %</t>
    </r>
    <r>
      <rPr>
        <vertAlign val="superscript"/>
        <sz val="14"/>
        <color rgb="FFFFFFFF"/>
        <rFont val="Arial"/>
        <family val="2"/>
      </rPr>
      <t xml:space="preserve">  </t>
    </r>
  </si>
  <si>
    <t>Limpia</t>
  </si>
  <si>
    <t>Mediciones (cm)</t>
  </si>
  <si>
    <t>SI</t>
  </si>
  <si>
    <t>≤ 0,3</t>
  </si>
  <si>
    <t>K=1,65</t>
  </si>
  <si>
    <t>K= 2,0</t>
  </si>
  <si>
    <t>Resultado</t>
  </si>
  <si>
    <t>Condicional incertidumbre dominante</t>
  </si>
  <si>
    <t>Propiedad de un resultado de medida por la cual el resultado puede relacionarse con una referencia mediante una cadena ininterrumpida y documentada de calibraciones, cada una de las cuales contribuye a la incertidumbre de medida.</t>
  </si>
  <si>
    <t>Intervalo de medida</t>
  </si>
  <si>
    <t>Capacidad nominal:</t>
  </si>
  <si>
    <t>Número de serie:</t>
  </si>
  <si>
    <t>Fabricante:</t>
  </si>
  <si>
    <t>Superficie externa:</t>
  </si>
  <si>
    <t>Superficie interna:</t>
  </si>
  <si>
    <t>Tubo en vidrio</t>
  </si>
  <si>
    <t xml:space="preserve">4.   MÉTODO DE CALIBRACIÓN UTILIZADO </t>
  </si>
  <si>
    <t>5.  CONDICIONES AMBIENTALES</t>
  </si>
  <si>
    <t>Las condiciones ambientales promedio corregidas en el laboratorio durante la calibración fueron las siguientes:</t>
  </si>
  <si>
    <t>6.   INCERTIDUMBRE DE MEDICIÓN</t>
  </si>
  <si>
    <t>7.   TRAZABILIDAD METROLÓGICA</t>
  </si>
  <si>
    <t>8.   RESULTADOS DE LA CALIBRACIÓN</t>
  </si>
  <si>
    <t>9.   SE AJUSTO LA ESCALA</t>
  </si>
  <si>
    <t>10.   OBSERVACIONES</t>
  </si>
  <si>
    <t>RVP Código Interno</t>
  </si>
  <si>
    <t>Recipientes Volumétricos Patrón</t>
  </si>
  <si>
    <t>Termómetro utilizado en el liquido del RVC</t>
  </si>
  <si>
    <t>Termómetro utilizado en el liquido del RVP</t>
  </si>
  <si>
    <t>Verificación de Escala</t>
  </si>
  <si>
    <t>Material del Recipiente Volumétrico</t>
  </si>
  <si>
    <t>Según certificado  punto Mínimo</t>
  </si>
  <si>
    <t>Según certificado  punto Máximo</t>
  </si>
  <si>
    <t>Cronómetros</t>
  </si>
  <si>
    <t>Metrólogos</t>
  </si>
  <si>
    <t>Nombre del Metrólogo</t>
  </si>
  <si>
    <t>Trazabilidad y número</t>
  </si>
  <si>
    <t>Cronómetro</t>
  </si>
  <si>
    <t>Coeficiente cúbico de expansión térmico del material</t>
  </si>
  <si>
    <t>Incertidumbre estándar  u(xi)</t>
  </si>
  <si>
    <t>Coeficiente de sensibilidad (ci)</t>
  </si>
  <si>
    <t>Grados de libertad    Vi</t>
  </si>
  <si>
    <t>Volumen suministrado probeta patrón</t>
  </si>
  <si>
    <t>Calibración probeta patrón</t>
  </si>
  <si>
    <t>Lectura probeta patrón</t>
  </si>
  <si>
    <t>Delta de volumen máximo de lectura</t>
  </si>
  <si>
    <t>Delta de volumen mínimo de lectura</t>
  </si>
  <si>
    <t>Delta por método</t>
  </si>
  <si>
    <t>Como g ej. &gt; 50  =&gt;para 95%</t>
  </si>
  <si>
    <t>División de escala</t>
  </si>
  <si>
    <r>
      <rPr>
        <i/>
        <sz val="12"/>
        <color theme="1"/>
        <rFont val="Arial"/>
        <family val="2"/>
      </rPr>
      <t>u</t>
    </r>
    <r>
      <rPr>
        <sz val="12"/>
        <color theme="1"/>
        <rFont val="Arial"/>
        <family val="2"/>
      </rPr>
      <t xml:space="preserve"> división de escala </t>
    </r>
  </si>
  <si>
    <t>Capacidad nominal probeta patrón</t>
  </si>
  <si>
    <t>V Min Indicado probeta patrón     (N)</t>
  </si>
  <si>
    <t>Interpolación VMin Indicado probeta patrón</t>
  </si>
  <si>
    <t>h máx.</t>
  </si>
  <si>
    <r>
      <t>Diferencia de alturas  (D</t>
    </r>
    <r>
      <rPr>
        <b/>
        <vertAlign val="subscript"/>
        <sz val="12"/>
        <color theme="1"/>
        <rFont val="Arial"/>
        <family val="2"/>
      </rPr>
      <t>h</t>
    </r>
    <r>
      <rPr>
        <b/>
        <sz val="12"/>
        <color theme="1"/>
        <rFont val="Arial"/>
        <family val="2"/>
      </rPr>
      <t>)</t>
    </r>
  </si>
  <si>
    <t>TABLA DE CONVERSION                                        
Disponible en  https://www.nist.gov/physical-measurement-laboratory/nist-guide-si-appendix-b</t>
  </si>
  <si>
    <t>Acero inoxidable</t>
  </si>
  <si>
    <t>Recipiente volumétrico</t>
  </si>
  <si>
    <t>Incertidumbre   ± U</t>
  </si>
  <si>
    <t>Dirección del Solicitante</t>
  </si>
  <si>
    <t>5 gal</t>
  </si>
  <si>
    <t>Ancho de los trazos de la escala (mm)</t>
  </si>
  <si>
    <t>0,23.0714.0802.024 C-I V-002</t>
  </si>
  <si>
    <t>19506160802033 C-I M-012</t>
  </si>
  <si>
    <t>0,26.0714.0802.024 C-I M-010</t>
  </si>
  <si>
    <t>19406160802033 C-I M-013</t>
  </si>
  <si>
    <t xml:space="preserve">16-5935702    C-I V-005         </t>
  </si>
  <si>
    <t>14-92812 C-I V-001</t>
  </si>
  <si>
    <t>INM 4216</t>
  </si>
  <si>
    <t>INM 4217</t>
  </si>
  <si>
    <t>Recipiente Volumétrico</t>
  </si>
  <si>
    <t>100.24</t>
  </si>
  <si>
    <t>Solicitante:</t>
  </si>
  <si>
    <t>Dirección:</t>
  </si>
  <si>
    <t>Fecha de recepción:</t>
  </si>
  <si>
    <t>Fecha de calibración:</t>
  </si>
  <si>
    <t>Delta respecto a la lectura del menisco.</t>
  </si>
  <si>
    <t>Delta respecto a la repetibilidad de las mediciones.</t>
  </si>
  <si>
    <t>Delta respecto a factores adicionales.</t>
  </si>
  <si>
    <t>18 501,0 mL a 19 336,6 mL</t>
  </si>
  <si>
    <t>División mínima promedio de la escala:</t>
  </si>
  <si>
    <t>Intervalo de Medida</t>
  </si>
  <si>
    <t>0 mL a 5 mL</t>
  </si>
  <si>
    <t>0 mL a 10 mL</t>
  </si>
  <si>
    <t>0 mL a 25 mL</t>
  </si>
  <si>
    <t>0 mL a 0mL</t>
  </si>
  <si>
    <t>14 °C a 22 °C</t>
  </si>
  <si>
    <t>Incertidumbre    ± U</t>
  </si>
  <si>
    <t>EMP</t>
  </si>
  <si>
    <t>| E |</t>
  </si>
  <si>
    <t>|E|</t>
  </si>
  <si>
    <t xml:space="preserve">Fecha de elaboración:  </t>
  </si>
  <si>
    <t>XXXX-XX-XX</t>
  </si>
  <si>
    <t xml:space="preserve">La declaración de conformidad se aplica teniendo en cuenta el error más la incertidumbre de medición, la cual no deberá superar los errores máximos permitidos (EMP), según lo definido en la OIML R 120:2010. </t>
  </si>
  <si>
    <t xml:space="preserve">Ciudad </t>
  </si>
  <si>
    <t>Ciudad :</t>
  </si>
  <si>
    <t>Humedad relativa</t>
  </si>
  <si>
    <t>Puntos de calibración Actual (°C)</t>
  </si>
  <si>
    <t>Puntos de calibración Anterior (°C)</t>
  </si>
  <si>
    <t>Deriva °C</t>
  </si>
  <si>
    <t>Divisor</t>
  </si>
  <si>
    <t>%hr</t>
  </si>
  <si>
    <t>SC</t>
  </si>
  <si>
    <t>°C "m" Pendiente</t>
  </si>
  <si>
    <t>°C "b" Intersección</t>
  </si>
  <si>
    <t>hPa "m" Pendiente</t>
  </si>
  <si>
    <t>hPa "b" Intersección</t>
  </si>
  <si>
    <t>Fecha</t>
  </si>
  <si>
    <t>Mínimo</t>
  </si>
  <si>
    <t>Máximo</t>
  </si>
  <si>
    <t>Mínimo corregido</t>
  </si>
  <si>
    <t>Máximo corregido</t>
  </si>
  <si>
    <r>
      <t>°C</t>
    </r>
    <r>
      <rPr>
        <vertAlign val="superscript"/>
        <sz val="12"/>
        <color theme="1"/>
        <rFont val="Arial"/>
        <family val="2"/>
      </rPr>
      <t>-1</t>
    </r>
  </si>
  <si>
    <r>
      <t>in</t>
    </r>
    <r>
      <rPr>
        <b/>
        <vertAlign val="superscript"/>
        <sz val="12"/>
        <color theme="1"/>
        <rFont val="Arial"/>
        <family val="2"/>
      </rPr>
      <t>3</t>
    </r>
  </si>
  <si>
    <t>Deriva (mL)</t>
  </si>
  <si>
    <t>Puntos de calibración Actual (mL) al 10%</t>
  </si>
  <si>
    <t>Puntos de calibración Anterior (mL) al 10%</t>
  </si>
  <si>
    <t xml:space="preserve">Puntos de calibración Actual (mL) al 50% </t>
  </si>
  <si>
    <t>Puntos de calibración Anterior (mL) al 50%</t>
  </si>
  <si>
    <t>Puntos de calibración Actual (mL) al 100%</t>
  </si>
  <si>
    <t>Puntos de calibración Anterior (mL) al 100%</t>
  </si>
  <si>
    <t>10 mL a 100mL</t>
  </si>
  <si>
    <t>50 mL a 500 mL</t>
  </si>
  <si>
    <t>100 mL a 500 mL</t>
  </si>
  <si>
    <t>200 mL a 1000 mL</t>
  </si>
  <si>
    <t>Volumen (L) actual según certificado</t>
  </si>
  <si>
    <t>Volumen (L) anterior según certificado</t>
  </si>
  <si>
    <t xml:space="preserve">Deriva </t>
  </si>
  <si>
    <t>% hr</t>
  </si>
  <si>
    <r>
      <t>in</t>
    </r>
    <r>
      <rPr>
        <b/>
        <i/>
        <vertAlign val="superscript"/>
        <sz val="12"/>
        <color theme="0"/>
        <rFont val="Arial"/>
        <family val="2"/>
      </rPr>
      <t>3</t>
    </r>
  </si>
  <si>
    <t>Sustituto del Responsable de la Dirección Técnica</t>
  </si>
  <si>
    <t>Responsable de la Dirección Técnica</t>
  </si>
  <si>
    <t>Stivinson Córdoba Sánchez</t>
  </si>
  <si>
    <t>Indicación (Según Certificado)</t>
  </si>
  <si>
    <t>Puntos de calibración</t>
  </si>
  <si>
    <t>Capacidad Nominal en (gal)</t>
  </si>
  <si>
    <t>Temperatura de referencia (°C)</t>
  </si>
  <si>
    <t>V-004  
 Punto 1</t>
  </si>
  <si>
    <t>V-004   
Punto 2</t>
  </si>
  <si>
    <t>V-004  
 Punto 3</t>
  </si>
  <si>
    <t>V-004   
Punto 4</t>
  </si>
  <si>
    <t>V-004  
 Punto 5</t>
  </si>
  <si>
    <t>V-13 
Punto 5</t>
  </si>
  <si>
    <t>V-13 
Punto 20</t>
  </si>
  <si>
    <t>V-13 
Punto 50</t>
  </si>
  <si>
    <t>V-13 
Punto 70</t>
  </si>
  <si>
    <t>V-13 
Punto 100</t>
  </si>
  <si>
    <t>V-13 
Punto 150</t>
  </si>
  <si>
    <t>V-13
 Punto 200</t>
  </si>
  <si>
    <t>Pie de Rey "puntas de exteriores"</t>
  </si>
  <si>
    <t>Pie de Rey "puntas de interiores"</t>
  </si>
  <si>
    <t>V-13 
Punto 200</t>
  </si>
  <si>
    <t>Aceros Euramet cg 21 tabla 1</t>
  </si>
  <si>
    <t>% hr "b" Intersección</t>
  </si>
  <si>
    <t>% hr "m" Pendiente</t>
  </si>
  <si>
    <t>Coeficiente cúbico de expansión térmico del material (IP)</t>
  </si>
  <si>
    <t>Intervalos Nominal (Mín. y Máx.)</t>
  </si>
  <si>
    <t>Según indica certificado Mín. y Máx.)</t>
  </si>
  <si>
    <t>Corrección (Según Certificado) mL</t>
  </si>
  <si>
    <t xml:space="preserve">Descargar datos del termohigrómetro utilizado en la calibración-condiciones ambientales máximas y mínimas </t>
  </si>
  <si>
    <t>Información</t>
  </si>
  <si>
    <t xml:space="preserve">Fecha de emisión:  </t>
  </si>
  <si>
    <t xml:space="preserve">                         Calibrado por</t>
  </si>
  <si>
    <t>Calibrado por</t>
  </si>
  <si>
    <t>*</t>
  </si>
  <si>
    <t>Los resultados obtenidos en esta calibración, aplican a la información del equipo descrito en el numeral uno (1) del presente certificado.</t>
  </si>
  <si>
    <t>Los resultados obtenidos en el presente certificado se refieren al momento y condiciones en que se realizaron las mediciones.</t>
  </si>
  <si>
    <t>Los laboratorios de la Superintendencia de Industria y Comercio no se responsabilizan de los perjuicios que puedan derivarse del uso inadecuado del equipo calibrado.</t>
  </si>
  <si>
    <t>Se adhiere al equipo calibrado una estampilla identificada con el número del  certificado.</t>
  </si>
  <si>
    <t xml:space="preserve">Se instala el precinto de seguridad, sobre la escala de medición, identificado con los números: </t>
  </si>
  <si>
    <t>El equipo  fue calibrado para suministrar líquido por el método volumétrico, usando agua potable.</t>
  </si>
  <si>
    <t>Se realiza el pre-mojado con un llenado y  drenando en un tiempo mínimo  de 60 s ±10 s.</t>
  </si>
  <si>
    <t>Se efectuaron 3 ciclos de vaciado y llenado para determinar la capacidad del recipiente.</t>
  </si>
  <si>
    <t>**</t>
  </si>
  <si>
    <t>Se efectuaron 3 ciclos de vaciado y llenado para determinar la capacidad del recipiente después de ajuste.</t>
  </si>
  <si>
    <t>En el presente certificado se usa la coma “,” como separador decimal.</t>
  </si>
  <si>
    <t>Este certificado de calibración no puede ser reproducido parcial, ni totalmente,  excepto  con  autorización  del  laboratorio  de la Superintendencia de Industria y Comercio.</t>
  </si>
  <si>
    <t>Para efectos de la calibración se tomo como referencia la escala izquierda de la reglilla graduada.</t>
  </si>
  <si>
    <t>El certificado de calibración sin las firmas autorizadas no es válido.</t>
  </si>
  <si>
    <t>Los resultados de la calibración son trazables al Sistema Internacional (SI).</t>
  </si>
  <si>
    <t>Para la calibración del recipiente volumétrico, se utilizó el método  establecido en el documento normativo guía Euramet cg-21, Vr. 1.0. (04/2013).</t>
  </si>
  <si>
    <t>Coeficiente de expansión térmica del material del RVC.</t>
  </si>
  <si>
    <t>Máxima Deriva (mL)</t>
  </si>
  <si>
    <t xml:space="preserve">Fecha: </t>
  </si>
  <si>
    <t>INM 4629</t>
  </si>
  <si>
    <t>INM 4630</t>
  </si>
  <si>
    <t>INM 4626</t>
  </si>
  <si>
    <t>2020-07-07 / 2020-7-08 / 2020-05-29</t>
  </si>
  <si>
    <t>INM  4629 - INM 4630 - INM 4626</t>
  </si>
  <si>
    <t>INM 4610</t>
  </si>
  <si>
    <t>INM 4611</t>
  </si>
  <si>
    <t>INM 4625</t>
  </si>
  <si>
    <t>2020-06-18 / 2020-06-19/ 2020-05-29</t>
  </si>
  <si>
    <t>INM-4610, INM 4611 - INM 4625</t>
  </si>
  <si>
    <t>INM 4608</t>
  </si>
  <si>
    <t>INM 4609</t>
  </si>
  <si>
    <t>INM - 4623</t>
  </si>
  <si>
    <t>2020-06-18 2020-06-19- 2020-05-29</t>
  </si>
  <si>
    <t>INM 4608 - INM 4609 -   INM 4623</t>
  </si>
  <si>
    <t>INM 4627</t>
  </si>
  <si>
    <t>INM 4628</t>
  </si>
  <si>
    <t>INM 4624</t>
  </si>
  <si>
    <t>2020-07-07 / 2020-07-08 / 2020-05-29</t>
  </si>
  <si>
    <t>INM-4627-INM 4628-INM 4624</t>
  </si>
  <si>
    <r>
      <t>Coeficiente cubico de expansión térmico del material (°C</t>
    </r>
    <r>
      <rPr>
        <b/>
        <vertAlign val="superscript"/>
        <sz val="12"/>
        <color theme="1"/>
        <rFont val="Arial"/>
        <family val="2"/>
      </rPr>
      <t>-1</t>
    </r>
    <r>
      <rPr>
        <b/>
        <sz val="12"/>
        <color theme="1"/>
        <rFont val="Arial"/>
        <family val="2"/>
      </rPr>
      <t>)</t>
    </r>
  </si>
  <si>
    <r>
      <t>Coeficiente cubico de expansión térmico del material (IP)  ( °C</t>
    </r>
    <r>
      <rPr>
        <b/>
        <vertAlign val="superscript"/>
        <sz val="12"/>
        <color theme="1"/>
        <rFont val="Arial"/>
        <family val="2"/>
      </rPr>
      <t>-1</t>
    </r>
    <r>
      <rPr>
        <b/>
        <sz val="12"/>
        <color theme="1"/>
        <rFont val="Arial"/>
        <family val="2"/>
      </rPr>
      <t>)</t>
    </r>
  </si>
  <si>
    <r>
      <t xml:space="preserve">División de Escala  in </t>
    </r>
    <r>
      <rPr>
        <vertAlign val="superscript"/>
        <sz val="12"/>
        <color theme="1"/>
        <rFont val="Arial"/>
        <family val="2"/>
      </rPr>
      <t>3</t>
    </r>
  </si>
  <si>
    <r>
      <t>0,25 in</t>
    </r>
    <r>
      <rPr>
        <vertAlign val="superscript"/>
        <sz val="12"/>
        <color theme="1"/>
        <rFont val="Arial"/>
        <family val="2"/>
      </rPr>
      <t>3</t>
    </r>
  </si>
  <si>
    <r>
      <t>0,5 in</t>
    </r>
    <r>
      <rPr>
        <vertAlign val="superscript"/>
        <sz val="12"/>
        <color theme="1"/>
        <rFont val="Arial"/>
        <family val="2"/>
      </rPr>
      <t>3</t>
    </r>
  </si>
  <si>
    <r>
      <t>1 in</t>
    </r>
    <r>
      <rPr>
        <vertAlign val="superscript"/>
        <sz val="12"/>
        <color theme="1"/>
        <rFont val="Arial"/>
        <family val="2"/>
      </rPr>
      <t>3</t>
    </r>
  </si>
  <si>
    <r>
      <t xml:space="preserve">Unidades en   " °C ,  %hr  </t>
    </r>
    <r>
      <rPr>
        <sz val="14"/>
        <color theme="0"/>
        <rFont val="Arial"/>
        <family val="2"/>
      </rPr>
      <t>y</t>
    </r>
    <r>
      <rPr>
        <b/>
        <sz val="14"/>
        <color theme="0"/>
        <rFont val="Arial"/>
        <family val="2"/>
      </rPr>
      <t xml:space="preserve"> hPa " </t>
    </r>
    <r>
      <rPr>
        <sz val="14"/>
        <color theme="0"/>
        <rFont val="Arial"/>
        <family val="2"/>
      </rPr>
      <t xml:space="preserve"> según corresponda</t>
    </r>
  </si>
  <si>
    <t>INM 4538</t>
  </si>
  <si>
    <t>INM 4539</t>
  </si>
  <si>
    <t>INM  4580</t>
  </si>
  <si>
    <t>Hora Final</t>
  </si>
  <si>
    <t>L</t>
  </si>
  <si>
    <t>U exp (mL)</t>
  </si>
  <si>
    <t>Despues de ajuste</t>
  </si>
  <si>
    <t>Probabilidad de conformidad y no conformidad Antes de ajuste</t>
  </si>
  <si>
    <t>Posicion grafico</t>
  </si>
  <si>
    <t>"Z" limite superior</t>
  </si>
  <si>
    <t>Pc conformidad</t>
  </si>
  <si>
    <t>Pc no conformidad</t>
  </si>
  <si>
    <t>"Z" limite inferiro</t>
  </si>
  <si>
    <t>Probabilidad de conformidad y no conformidad Despues de ajuste</t>
  </si>
  <si>
    <t>Volume nominal</t>
  </si>
  <si>
    <r>
      <t>Coeficiente cubico de expansión térmico del material ( °C</t>
    </r>
    <r>
      <rPr>
        <b/>
        <vertAlign val="superscript"/>
        <sz val="12"/>
        <color theme="0"/>
        <rFont val="Arial"/>
        <family val="2"/>
      </rPr>
      <t>-1</t>
    </r>
    <r>
      <rPr>
        <b/>
        <sz val="12"/>
        <color theme="0"/>
        <rFont val="Arial"/>
        <family val="2"/>
      </rPr>
      <t>)</t>
    </r>
  </si>
  <si>
    <t>Error indicación (mL)</t>
  </si>
  <si>
    <t>Resee</t>
  </si>
  <si>
    <t>CMK-TFA-19398</t>
  </si>
  <si>
    <t>INM 4703</t>
  </si>
  <si>
    <t xml:space="preserve">2019-09-24  / 2019-09-25  / 2020-10-02 </t>
  </si>
  <si>
    <t>INM 4216 - INM 4217 -  INM 4703</t>
  </si>
  <si>
    <r>
      <t>Intervalo de la escala RV en  ±  1 %, ± 10 in</t>
    </r>
    <r>
      <rPr>
        <b/>
        <vertAlign val="superscript"/>
        <sz val="14"/>
        <color theme="0"/>
        <rFont val="Arial"/>
        <family val="2"/>
      </rPr>
      <t>3</t>
    </r>
  </si>
  <si>
    <t>Fecha de verificacion de la escala</t>
  </si>
  <si>
    <t>Lugar de verificacion de la escala</t>
  </si>
  <si>
    <t xml:space="preserve"> = 0,05 %</t>
  </si>
  <si>
    <t>Temperatura de referencia en el RVC.</t>
  </si>
  <si>
    <t>"La incertidumbre expandida de la medición reportada se establece como la incertidumbre estándar de medición multiplicada por el factor de cobertura "k",y la probabilidad de cobertura,  la cual debe ser aproximada al 95 % y no menor a este valor".</t>
  </si>
  <si>
    <t xml:space="preserve">
Cumple</t>
  </si>
  <si>
    <t>Temperatura de referencia °C</t>
  </si>
  <si>
    <t xml:space="preserve">INM 5053 </t>
  </si>
  <si>
    <t>INM 4720</t>
  </si>
  <si>
    <t>El laboratorio no se responsabiliza de los resultados que puedan ser afectados por la desviación del estado en que se recibió el equipo.</t>
  </si>
  <si>
    <t>La verificación de la escala no hace parte del alcance reportado para el alcance acreditado.</t>
  </si>
  <si>
    <t>La incertidumbre estándar de medición se multiplica por un factor de cobertura "k"=2.</t>
  </si>
  <si>
    <t>(* RVC) Recipiente volumétrico calibrado         (*RVP) Recipiente volumétrico patrón.</t>
  </si>
  <si>
    <t>La escala fue verificada en el intervalo de medición 5 galones ±  1 %, ± 10 in3.</t>
  </si>
  <si>
    <r>
      <t>T</t>
    </r>
    <r>
      <rPr>
        <b/>
        <vertAlign val="subscript"/>
        <sz val="12"/>
        <color theme="1"/>
        <rFont val="Arial"/>
        <family val="2"/>
      </rPr>
      <t>U</t>
    </r>
    <r>
      <rPr>
        <b/>
        <sz val="12"/>
        <color theme="1"/>
        <rFont val="Arial"/>
        <family val="2"/>
      </rPr>
      <t xml:space="preserve"> </t>
    </r>
    <r>
      <rPr>
        <b/>
        <vertAlign val="subscript"/>
        <sz val="12"/>
        <color theme="1"/>
        <rFont val="Arial"/>
        <family val="2"/>
      </rPr>
      <t>(EMP + (mL))</t>
    </r>
  </si>
  <si>
    <r>
      <t>T</t>
    </r>
    <r>
      <rPr>
        <b/>
        <vertAlign val="subscript"/>
        <sz val="12"/>
        <color theme="1"/>
        <rFont val="Arial"/>
        <family val="2"/>
      </rPr>
      <t>L</t>
    </r>
    <r>
      <rPr>
        <b/>
        <sz val="12"/>
        <color theme="1"/>
        <rFont val="Arial"/>
        <family val="2"/>
      </rPr>
      <t xml:space="preserve"> </t>
    </r>
    <r>
      <rPr>
        <b/>
        <vertAlign val="subscript"/>
        <sz val="12"/>
        <color theme="1"/>
        <rFont val="Arial"/>
        <family val="2"/>
      </rPr>
      <t>(EMP - (mL))</t>
    </r>
  </si>
  <si>
    <t>Volumen nominal del RV</t>
  </si>
  <si>
    <t>Volumen Indicado del RV BC antes de ajuste</t>
  </si>
  <si>
    <t>Volumen Indicado del RV BC Despues de ajuste</t>
  </si>
  <si>
    <t>CONDICIONES AMBIENTALES</t>
  </si>
  <si>
    <t>ANTES</t>
  </si>
  <si>
    <t>DESPUES</t>
  </si>
  <si>
    <r>
      <t>in</t>
    </r>
    <r>
      <rPr>
        <vertAlign val="superscript"/>
        <sz val="12"/>
        <color theme="0"/>
        <rFont val="Arial"/>
        <family val="2"/>
      </rPr>
      <t>3</t>
    </r>
  </si>
  <si>
    <t>HOLA DE CÁLCULO PARA CALIBRACIÓN DE RECIPIENTES VOLUMÉTRICOS</t>
  </si>
  <si>
    <t xml:space="preserve">Después de ajuste </t>
  </si>
  <si>
    <t>Hora de inicio</t>
  </si>
  <si>
    <r>
      <t>in</t>
    </r>
    <r>
      <rPr>
        <b/>
        <i/>
        <vertAlign val="superscript"/>
        <sz val="12"/>
        <rFont val="Arial"/>
        <family val="2"/>
      </rPr>
      <t>3</t>
    </r>
  </si>
  <si>
    <t>Modificación al Certificado N°</t>
  </si>
  <si>
    <r>
      <t>in</t>
    </r>
    <r>
      <rPr>
        <vertAlign val="superscript"/>
        <sz val="10"/>
        <color theme="0"/>
        <rFont val="Arial"/>
        <family val="2"/>
      </rPr>
      <t>3</t>
    </r>
  </si>
  <si>
    <t>Cumple</t>
  </si>
  <si>
    <t>Balanza</t>
  </si>
  <si>
    <t>balanza digital de 60 kg</t>
  </si>
  <si>
    <t>Indicación (Según Certificado en g)</t>
  </si>
  <si>
    <t>Deriva g</t>
  </si>
  <si>
    <t>Puntos de calibración Anterior (g)</t>
  </si>
  <si>
    <t>Puntos de calibración Actual (g)</t>
  </si>
  <si>
    <t>g "m" Pendiente</t>
  </si>
  <si>
    <t>g "b" Intersección</t>
  </si>
  <si>
    <t>VIBRA</t>
  </si>
  <si>
    <t>Unidades en  " g "</t>
  </si>
  <si>
    <t>División de Escala / Resolución (en "g")</t>
  </si>
  <si>
    <t>0,5 in3</t>
  </si>
  <si>
    <t>g</t>
  </si>
  <si>
    <r>
      <t>Unidad en  " g/cm</t>
    </r>
    <r>
      <rPr>
        <b/>
        <i/>
        <vertAlign val="superscript"/>
        <sz val="14"/>
        <color theme="0"/>
        <rFont val="Arial"/>
        <family val="2"/>
      </rPr>
      <t>3</t>
    </r>
    <r>
      <rPr>
        <b/>
        <i/>
        <sz val="14"/>
        <color theme="0"/>
        <rFont val="Arial"/>
        <family val="2"/>
      </rPr>
      <t xml:space="preserve"> "</t>
    </r>
  </si>
  <si>
    <t>Densidad Pesas</t>
  </si>
  <si>
    <t>Densidad de las pesas</t>
  </si>
  <si>
    <t>N/A</t>
  </si>
  <si>
    <t>XX</t>
  </si>
  <si>
    <r>
      <t>Indicación (Según Certificado en "g/cm</t>
    </r>
    <r>
      <rPr>
        <b/>
        <vertAlign val="superscript"/>
        <sz val="12"/>
        <color theme="1"/>
        <rFont val="Arial"/>
        <family val="2"/>
      </rPr>
      <t>3</t>
    </r>
    <r>
      <rPr>
        <b/>
        <sz val="12"/>
        <color theme="1"/>
        <rFont val="Arial"/>
        <family val="2"/>
      </rPr>
      <t>")</t>
    </r>
  </si>
  <si>
    <r>
      <t>División de Escala / Resolución (en "g/cm</t>
    </r>
    <r>
      <rPr>
        <b/>
        <vertAlign val="superscript"/>
        <sz val="12"/>
        <color theme="1"/>
        <rFont val="Arial"/>
        <family val="2"/>
      </rPr>
      <t>3</t>
    </r>
    <r>
      <rPr>
        <b/>
        <sz val="12"/>
        <color theme="1"/>
        <rFont val="Arial"/>
        <family val="2"/>
      </rPr>
      <t>")</t>
    </r>
  </si>
  <si>
    <r>
      <t>"g/cm</t>
    </r>
    <r>
      <rPr>
        <b/>
        <vertAlign val="superscript"/>
        <sz val="12"/>
        <color theme="1"/>
        <rFont val="Arial"/>
        <family val="2"/>
      </rPr>
      <t>3</t>
    </r>
    <r>
      <rPr>
        <b/>
        <sz val="12"/>
        <color theme="1"/>
        <rFont val="Arial"/>
        <family val="2"/>
      </rPr>
      <t>" "m" Pendiente</t>
    </r>
  </si>
  <si>
    <r>
      <t>"g/cm</t>
    </r>
    <r>
      <rPr>
        <b/>
        <vertAlign val="superscript"/>
        <sz val="12"/>
        <color theme="1"/>
        <rFont val="Arial"/>
        <family val="2"/>
      </rPr>
      <t>3</t>
    </r>
    <r>
      <rPr>
        <b/>
        <sz val="12"/>
        <color theme="1"/>
        <rFont val="Arial"/>
        <family val="2"/>
      </rPr>
      <t>" "b" Intersección</t>
    </r>
  </si>
  <si>
    <r>
      <t>Deriva "g/cm</t>
    </r>
    <r>
      <rPr>
        <vertAlign val="superscript"/>
        <sz val="12"/>
        <color theme="1"/>
        <rFont val="Arial"/>
        <family val="2"/>
      </rPr>
      <t>3</t>
    </r>
    <r>
      <rPr>
        <sz val="12"/>
        <color theme="1"/>
        <rFont val="Arial"/>
        <family val="2"/>
      </rPr>
      <t>"</t>
    </r>
  </si>
  <si>
    <r>
      <rPr>
        <sz val="12"/>
        <color theme="1"/>
        <rFont val="Calibri"/>
        <family val="2"/>
      </rPr>
      <t>ρ</t>
    </r>
    <r>
      <rPr>
        <vertAlign val="subscript"/>
        <sz val="12"/>
        <color theme="1"/>
        <rFont val="Calibri"/>
        <family val="2"/>
      </rPr>
      <t>B</t>
    </r>
  </si>
  <si>
    <t xml:space="preserve">  V-002  
Punto 1 "°C"</t>
  </si>
  <si>
    <t xml:space="preserve">  V-002  
Punto 2 "°C"</t>
  </si>
  <si>
    <t xml:space="preserve">  V-002  
Punto 3 "°C"</t>
  </si>
  <si>
    <t xml:space="preserve">  V-002  
Punto 1 "% hr"</t>
  </si>
  <si>
    <t xml:space="preserve">  V-002  
Punto 2 "%hr"</t>
  </si>
  <si>
    <t xml:space="preserve">  V-002  
Punto 3 "%hr"</t>
  </si>
  <si>
    <t xml:space="preserve">  V-002  
Punto 1 "hpa"</t>
  </si>
  <si>
    <t xml:space="preserve">  V-002  
Punto 2 "hpa"</t>
  </si>
  <si>
    <t xml:space="preserve">  V-002  
Punto 3 "hpa"</t>
  </si>
  <si>
    <t xml:space="preserve">  V-012  
Punto 1 "°C"</t>
  </si>
  <si>
    <t xml:space="preserve">  V-012  
Punto 2 "°C"</t>
  </si>
  <si>
    <t xml:space="preserve">  V-012  
Punto 3 "°C"</t>
  </si>
  <si>
    <t xml:space="preserve">  V-012  
Punto 1 "% hr"</t>
  </si>
  <si>
    <t xml:space="preserve">  V-012  
Punto 2 "%hr"</t>
  </si>
  <si>
    <t xml:space="preserve">  V-012  
Punto 3 "%hr"</t>
  </si>
  <si>
    <t xml:space="preserve">  V-012  
Punto 1 "hpa"</t>
  </si>
  <si>
    <t xml:space="preserve">  V-012  
Punto 2 "hpa"</t>
  </si>
  <si>
    <t xml:space="preserve">  V-012  
Punto 3 "hpa"</t>
  </si>
  <si>
    <t xml:space="preserve">  V-013  
Punto 1 "°C"</t>
  </si>
  <si>
    <t xml:space="preserve">  V-013  
Punto 2 "°C"</t>
  </si>
  <si>
    <t xml:space="preserve">  V-013  
Punto 3 "°C"</t>
  </si>
  <si>
    <t xml:space="preserve">  V-013  
Punto 1 "% hr"</t>
  </si>
  <si>
    <t xml:space="preserve">  V-013  
Punto 2 "%hr"</t>
  </si>
  <si>
    <t xml:space="preserve">  V-013  
Punto 3 "%hr"</t>
  </si>
  <si>
    <t xml:space="preserve">  V-013  
Punto 1 "hpa"</t>
  </si>
  <si>
    <t xml:space="preserve">  V-013  
Punto 2 "hpa"</t>
  </si>
  <si>
    <t xml:space="preserve">  V-013  
Punto 3 "hpa"</t>
  </si>
  <si>
    <t xml:space="preserve">  V-010  
Punto 1 "°C"</t>
  </si>
  <si>
    <t xml:space="preserve">  V-010  
Punto 2 "°C"</t>
  </si>
  <si>
    <t xml:space="preserve">  V-010  
Punto 3 "°C"</t>
  </si>
  <si>
    <t xml:space="preserve">  V-010  
Punto 1 "% hr"</t>
  </si>
  <si>
    <t xml:space="preserve">  V-010  
Punto 2 "%hr"</t>
  </si>
  <si>
    <t xml:space="preserve">  V-010  
Punto 3 "%hr"</t>
  </si>
  <si>
    <t xml:space="preserve">  V-010  
Punto 1 "hpa"</t>
  </si>
  <si>
    <t xml:space="preserve">  V-010  
Punto 2 "hpa"</t>
  </si>
  <si>
    <t xml:space="preserve">  V-010  
Punto 3 "hpa"</t>
  </si>
  <si>
    <t xml:space="preserve">  V-011  
Punto 1 "°C"</t>
  </si>
  <si>
    <t xml:space="preserve">  V-011  
Punto 2 "°C"</t>
  </si>
  <si>
    <t xml:space="preserve">  V-011  
Punto 3 "°C"</t>
  </si>
  <si>
    <t xml:space="preserve">  V-011  
Punto 1 "% hr"</t>
  </si>
  <si>
    <t xml:space="preserve">  V-011  
Punto 2 "%hr"</t>
  </si>
  <si>
    <t xml:space="preserve">  V-011  
Punto 3 "%hr"</t>
  </si>
  <si>
    <t xml:space="preserve">  V-011  
Punto 1 "hpa"</t>
  </si>
  <si>
    <t xml:space="preserve">  V-011  
Punto 2 "hpa"</t>
  </si>
  <si>
    <t xml:space="preserve">  V-011  
Punto 3 "hpa"</t>
  </si>
  <si>
    <t>hpa</t>
  </si>
  <si>
    <t>Tipo de agua</t>
  </si>
  <si>
    <t>Densidad agua</t>
  </si>
  <si>
    <t>ρw</t>
  </si>
  <si>
    <t>Densidad del agua</t>
  </si>
  <si>
    <r>
      <t>Composición isotópica (en "g/cm</t>
    </r>
    <r>
      <rPr>
        <b/>
        <vertAlign val="superscript"/>
        <sz val="12"/>
        <color theme="1"/>
        <rFont val="Arial"/>
        <family val="2"/>
      </rPr>
      <t>3</t>
    </r>
    <r>
      <rPr>
        <b/>
        <sz val="12"/>
        <color theme="1"/>
        <rFont val="Arial"/>
        <family val="2"/>
      </rPr>
      <t>")</t>
    </r>
  </si>
  <si>
    <t>agua grado III</t>
  </si>
  <si>
    <t>DENSIDAD DEL AGUA CALCULADA CON LA FÓRMULA DE TANAKA (g/cm3)</t>
  </si>
  <si>
    <t>Temperatura (°C)</t>
  </si>
  <si>
    <t>Humedad (% hr)</t>
  </si>
  <si>
    <t>Presión (hpa)</t>
  </si>
  <si>
    <t>Tiempo drenado (s)</t>
  </si>
  <si>
    <t>ESTIMACIÓN  Y CALCULO DE LA INCERTIDUMBRE DENSIDAD DEL AIRE</t>
  </si>
  <si>
    <t xml:space="preserve">Fuente información </t>
  </si>
  <si>
    <t>Tipo distribución</t>
  </si>
  <si>
    <t>Taire (°C)</t>
  </si>
  <si>
    <t>Dos certificados consecutivos</t>
  </si>
  <si>
    <t xml:space="preserve">grados de Libertad </t>
  </si>
  <si>
    <t>U(Daire)=</t>
  </si>
  <si>
    <t>Aporte a la Incertidumbre (aire)</t>
  </si>
  <si>
    <t>ESTIMACIÓN  Y CALCULO DE LA INCERTIDUMBRE DENSIDAD DEL AGUA</t>
  </si>
  <si>
    <t>Expansión del agua</t>
  </si>
  <si>
    <t>EURAMET cg-19 v.3:2018</t>
  </si>
  <si>
    <t>BATISTA, E. y PATON, R</t>
  </si>
  <si>
    <t>Ec. Tanaka</t>
  </si>
  <si>
    <t>Tagua (°C)</t>
  </si>
  <si>
    <t>equipo</t>
  </si>
  <si>
    <t>certificados</t>
  </si>
  <si>
    <t>Aporte a la Incertidumbre (agua)</t>
  </si>
  <si>
    <t xml:space="preserve">Masa de agua </t>
  </si>
  <si>
    <t>Lectura recipiente lleno, g</t>
  </si>
  <si>
    <t>mL/g</t>
  </si>
  <si>
    <t xml:space="preserve">Certificado </t>
  </si>
  <si>
    <t>Excentricidad, g</t>
  </si>
  <si>
    <t>Resolución, g</t>
  </si>
  <si>
    <t>Densidad del aire (g/cm3)</t>
  </si>
  <si>
    <t>CIPM Exponencial</t>
  </si>
  <si>
    <t>Densidad del agua [g/cm³]</t>
  </si>
  <si>
    <t>Tanaka</t>
  </si>
  <si>
    <t>Den. Masas [g/cm³]</t>
  </si>
  <si>
    <t>OIML R 111-1</t>
  </si>
  <si>
    <t>OIML R 111-1 Tabla B.7</t>
  </si>
  <si>
    <t>Coef. Cúbico de exp. [1/°C]</t>
  </si>
  <si>
    <t>Coeficiente expansión Térmica del material</t>
  </si>
  <si>
    <t>°C*mL</t>
  </si>
  <si>
    <t>Temperatura del agua [°C]</t>
  </si>
  <si>
    <t>mL/°C</t>
  </si>
  <si>
    <t>Gradiente entre Tagua y T aire, ºC</t>
  </si>
  <si>
    <t>Prueba, Mediciones</t>
  </si>
  <si>
    <t>Repetibilidad</t>
  </si>
  <si>
    <t>Mediciones</t>
  </si>
  <si>
    <t xml:space="preserve">Normal </t>
  </si>
  <si>
    <t>Ajuste menisco (Efecto operador)</t>
  </si>
  <si>
    <t>Euramet cg19 (7.3.7.1b)</t>
  </si>
  <si>
    <t>Euramet cg19 (7.3.7.1a)</t>
  </si>
  <si>
    <t>Euramet cg19 (7.3.8)</t>
  </si>
  <si>
    <t>U(V20)=</t>
  </si>
  <si>
    <t>U(Relativa)=</t>
  </si>
  <si>
    <t>ESTIMACIÓN  Y CALCULO DE LA INCERTIDUMBRE DE LA CAPACIDAD</t>
  </si>
  <si>
    <t>U(Dagua)=</t>
  </si>
  <si>
    <t>Volumen a la temperatura de referencia</t>
  </si>
  <si>
    <t>Temperatura de referencia [°C]</t>
  </si>
  <si>
    <t>Aporte a la Incertidumbre (volumen)</t>
  </si>
  <si>
    <t>Carga    
5 g</t>
  </si>
  <si>
    <t>Carga    
4000 g</t>
  </si>
  <si>
    <t>Carga    
8000 g</t>
  </si>
  <si>
    <t>Carga  
 12000 g</t>
  </si>
  <si>
    <t>Carga   
 16000 g</t>
  </si>
  <si>
    <t>Carga   
 20000 g</t>
  </si>
  <si>
    <t>Carga   
24000 g</t>
  </si>
  <si>
    <t>Carga   
28000 g</t>
  </si>
  <si>
    <t>Carga   
30000 g</t>
  </si>
  <si>
    <t>Carga   
35000 g</t>
  </si>
  <si>
    <t>M-009</t>
  </si>
  <si>
    <t>INM 4403</t>
  </si>
  <si>
    <r>
      <t>g/cm</t>
    </r>
    <r>
      <rPr>
        <vertAlign val="superscript"/>
        <sz val="12"/>
        <color rgb="FFFF0000"/>
        <rFont val="Arial"/>
        <family val="2"/>
      </rPr>
      <t>3</t>
    </r>
  </si>
  <si>
    <r>
      <t xml:space="preserve">DATOS DE CONDICIONES AMBIENTALES </t>
    </r>
    <r>
      <rPr>
        <b/>
        <i/>
        <sz val="12"/>
        <color rgb="FFFF0000"/>
        <rFont val="Arial"/>
        <family val="2"/>
      </rPr>
      <t>CORREGIDAS</t>
    </r>
  </si>
  <si>
    <r>
      <t>in</t>
    </r>
    <r>
      <rPr>
        <vertAlign val="superscript"/>
        <sz val="12"/>
        <color rgb="FFFF0000"/>
        <rFont val="Arial"/>
        <family val="2"/>
      </rPr>
      <t>3</t>
    </r>
  </si>
  <si>
    <r>
      <t>Adicionar / Sustraer  (in</t>
    </r>
    <r>
      <rPr>
        <vertAlign val="superscript"/>
        <sz val="12"/>
        <color rgb="FFFF0000"/>
        <rFont val="Arial"/>
        <family val="2"/>
      </rPr>
      <t>3)</t>
    </r>
  </si>
  <si>
    <r>
      <t>Coeficiente de sensibilidad, c</t>
    </r>
    <r>
      <rPr>
        <b/>
        <i/>
        <sz val="10"/>
        <color rgb="FFFF0000"/>
        <rFont val="Arial"/>
        <family val="2"/>
      </rPr>
      <t>i</t>
    </r>
  </si>
  <si>
    <r>
      <t xml:space="preserve">Contribución </t>
    </r>
    <r>
      <rPr>
        <b/>
        <i/>
        <sz val="10"/>
        <color rgb="FFFF0000"/>
        <rFont val="Arial"/>
        <family val="2"/>
      </rPr>
      <t>u</t>
    </r>
    <r>
      <rPr>
        <b/>
        <i/>
        <vertAlign val="subscript"/>
        <sz val="10"/>
        <color rgb="FFFF0000"/>
        <rFont val="Arial"/>
        <family val="2"/>
      </rPr>
      <t>i</t>
    </r>
    <r>
      <rPr>
        <b/>
        <i/>
        <sz val="10"/>
        <color rgb="FFFF0000"/>
        <rFont val="Arial"/>
        <family val="2"/>
      </rPr>
      <t>(y)</t>
    </r>
  </si>
  <si>
    <r>
      <t>(u</t>
    </r>
    <r>
      <rPr>
        <b/>
        <vertAlign val="subscript"/>
        <sz val="10"/>
        <color rgb="FFFF0000"/>
        <rFont val="Arial"/>
        <family val="2"/>
      </rPr>
      <t>i</t>
    </r>
    <r>
      <rPr>
        <b/>
        <sz val="10"/>
        <color rgb="FFFF0000"/>
        <rFont val="Arial"/>
        <family val="2"/>
      </rPr>
      <t>(y))</t>
    </r>
    <r>
      <rPr>
        <b/>
        <vertAlign val="superscript"/>
        <sz val="10"/>
        <color rgb="FFFF0000"/>
        <rFont val="Arial"/>
        <family val="2"/>
      </rPr>
      <t>2</t>
    </r>
  </si>
  <si>
    <r>
      <t>grados de libertad V</t>
    </r>
    <r>
      <rPr>
        <b/>
        <vertAlign val="subscript"/>
        <sz val="10"/>
        <color rgb="FFFF0000"/>
        <rFont val="Arial"/>
        <family val="2"/>
      </rPr>
      <t>i</t>
    </r>
  </si>
  <si>
    <r>
      <t xml:space="preserve">Contribución </t>
    </r>
    <r>
      <rPr>
        <b/>
        <i/>
        <sz val="10"/>
        <color rgb="FFFF0000"/>
        <rFont val="Arial"/>
        <family val="2"/>
      </rPr>
      <t>u</t>
    </r>
    <r>
      <rPr>
        <b/>
        <i/>
        <vertAlign val="subscript"/>
        <sz val="10"/>
        <color rgb="FFFF0000"/>
        <rFont val="Arial"/>
        <family val="2"/>
      </rPr>
      <t>i</t>
    </r>
    <r>
      <rPr>
        <b/>
        <i/>
        <sz val="10"/>
        <color rgb="FFFF0000"/>
        <rFont val="Arial"/>
        <family val="2"/>
      </rPr>
      <t>(y)</t>
    </r>
    <r>
      <rPr>
        <b/>
        <i/>
        <vertAlign val="superscript"/>
        <sz val="10"/>
        <color rgb="FFFF0000"/>
        <rFont val="Arial"/>
        <family val="2"/>
      </rPr>
      <t>4</t>
    </r>
  </si>
  <si>
    <r>
      <t>cm</t>
    </r>
    <r>
      <rPr>
        <vertAlign val="superscript"/>
        <sz val="12"/>
        <color rgb="FFFF0000"/>
        <rFont val="Arial"/>
        <family val="2"/>
      </rPr>
      <t>3</t>
    </r>
  </si>
  <si>
    <r>
      <t xml:space="preserve">N.C </t>
    </r>
    <r>
      <rPr>
        <b/>
        <i/>
        <sz val="12"/>
        <color rgb="FFFF0000"/>
        <rFont val="Arial"/>
        <family val="2"/>
      </rPr>
      <t>%</t>
    </r>
  </si>
  <si>
    <r>
      <t>in</t>
    </r>
    <r>
      <rPr>
        <b/>
        <vertAlign val="superscript"/>
        <sz val="12"/>
        <color rgb="FFFF0000"/>
        <rFont val="Arial"/>
        <family val="2"/>
      </rPr>
      <t>3</t>
    </r>
  </si>
  <si>
    <t xml:space="preserve">HOJA DE CÁLCULO PARA COMPROBACIÓN  DE RECIPIENTES VOLUMÉTRICOS </t>
  </si>
  <si>
    <t xml:space="preserve">HOJA DE CÁLCULO PARA COMPROBACIÓN  DE RECIPIENTES VOLUMÉTRICOS  </t>
  </si>
  <si>
    <t>Indicación            (Según Certificado)</t>
  </si>
  <si>
    <t>Lugar de Comprobación</t>
  </si>
  <si>
    <t>Fecha de comprobación</t>
  </si>
  <si>
    <t>Comprobación N°</t>
  </si>
  <si>
    <t>Fecha de Ingreso</t>
  </si>
  <si>
    <t>Identificación/  
Serie</t>
  </si>
  <si>
    <t>Termohigrómetro</t>
  </si>
  <si>
    <t>DATOS DEL RECIPIENTE BAJO COMPROBACIÓN</t>
  </si>
  <si>
    <t>Capacidad nominal en galones</t>
  </si>
  <si>
    <r>
      <t xml:space="preserve">DATOS DE CONDICIONES AMBIENTALES </t>
    </r>
    <r>
      <rPr>
        <b/>
        <i/>
        <sz val="12"/>
        <color rgb="FFFF0000"/>
        <rFont val="Arial"/>
        <family val="2"/>
      </rPr>
      <t>TERMOHIGRÓMETRO</t>
    </r>
  </si>
  <si>
    <r>
      <t>DENSIDAD DEL AIRE CALCULADA CON LA FÓRMULA VERSION SIMPLIFICADA DEL CIPM, Exponencial (g/cm</t>
    </r>
    <r>
      <rPr>
        <b/>
        <vertAlign val="superscript"/>
        <sz val="12"/>
        <color rgb="FFFF0000"/>
        <rFont val="Arial"/>
        <family val="2"/>
      </rPr>
      <t>3</t>
    </r>
    <r>
      <rPr>
        <b/>
        <sz val="12"/>
        <color rgb="FFFF0000"/>
        <rFont val="Arial"/>
        <family val="2"/>
      </rPr>
      <t>)</t>
    </r>
  </si>
  <si>
    <t>Tiempo escurrido (s)</t>
  </si>
  <si>
    <r>
      <t>g/cm</t>
    </r>
    <r>
      <rPr>
        <vertAlign val="superscript"/>
        <sz val="14"/>
        <color rgb="FFFF0000"/>
        <rFont val="Arial"/>
        <family val="2"/>
      </rPr>
      <t>3</t>
    </r>
  </si>
  <si>
    <r>
      <t>Densidad del aire (g/cm</t>
    </r>
    <r>
      <rPr>
        <b/>
        <vertAlign val="superscript"/>
        <sz val="12"/>
        <color rgb="FFFF0000"/>
        <rFont val="Arial"/>
        <family val="2"/>
      </rPr>
      <t>3</t>
    </r>
    <r>
      <rPr>
        <b/>
        <sz val="12"/>
        <color rgb="FFFF0000"/>
        <rFont val="Arial"/>
        <family val="2"/>
      </rPr>
      <t>)</t>
    </r>
  </si>
  <si>
    <r>
      <t>Densidad del aire (kg/m</t>
    </r>
    <r>
      <rPr>
        <b/>
        <vertAlign val="superscript"/>
        <sz val="12"/>
        <color rgb="FFFF0000"/>
        <rFont val="Arial"/>
        <family val="2"/>
      </rPr>
      <t>3</t>
    </r>
    <r>
      <rPr>
        <b/>
        <sz val="12"/>
        <color rgb="FFFF0000"/>
        <rFont val="Arial"/>
        <family val="2"/>
      </rPr>
      <t>)</t>
    </r>
  </si>
  <si>
    <r>
      <t>Coeficiente de sensibilidad, c</t>
    </r>
    <r>
      <rPr>
        <b/>
        <i/>
        <sz val="12"/>
        <color rgb="FFFF0000"/>
        <rFont val="Arial"/>
        <family val="2"/>
      </rPr>
      <t>i</t>
    </r>
  </si>
  <si>
    <r>
      <t xml:space="preserve">Contribución </t>
    </r>
    <r>
      <rPr>
        <b/>
        <i/>
        <sz val="12"/>
        <color rgb="FFFF0000"/>
        <rFont val="Arial"/>
        <family val="2"/>
      </rPr>
      <t>u</t>
    </r>
    <r>
      <rPr>
        <b/>
        <i/>
        <vertAlign val="subscript"/>
        <sz val="12"/>
        <color rgb="FFFF0000"/>
        <rFont val="Arial"/>
        <family val="2"/>
      </rPr>
      <t>i</t>
    </r>
    <r>
      <rPr>
        <b/>
        <i/>
        <sz val="12"/>
        <color rgb="FFFF0000"/>
        <rFont val="Arial"/>
        <family val="2"/>
      </rPr>
      <t>(y)</t>
    </r>
  </si>
  <si>
    <r>
      <t>(u</t>
    </r>
    <r>
      <rPr>
        <b/>
        <vertAlign val="subscript"/>
        <sz val="12"/>
        <color rgb="FFFF0000"/>
        <rFont val="Arial"/>
        <family val="2"/>
      </rPr>
      <t>i</t>
    </r>
    <r>
      <rPr>
        <b/>
        <sz val="12"/>
        <color rgb="FFFF0000"/>
        <rFont val="Arial"/>
        <family val="2"/>
      </rPr>
      <t>(y))</t>
    </r>
    <r>
      <rPr>
        <b/>
        <vertAlign val="superscript"/>
        <sz val="12"/>
        <color rgb="FFFF0000"/>
        <rFont val="Arial"/>
        <family val="2"/>
      </rPr>
      <t>2</t>
    </r>
  </si>
  <si>
    <r>
      <t>grados de libertad V</t>
    </r>
    <r>
      <rPr>
        <b/>
        <vertAlign val="subscript"/>
        <sz val="12"/>
        <color rgb="FFFF0000"/>
        <rFont val="Arial"/>
        <family val="2"/>
      </rPr>
      <t>i</t>
    </r>
  </si>
  <si>
    <r>
      <t>kg/m</t>
    </r>
    <r>
      <rPr>
        <vertAlign val="superscript"/>
        <sz val="12"/>
        <color rgb="FFFF0000"/>
        <rFont val="Arial"/>
        <family val="2"/>
      </rPr>
      <t>3</t>
    </r>
  </si>
  <si>
    <r>
      <t>kg/(m</t>
    </r>
    <r>
      <rPr>
        <vertAlign val="superscript"/>
        <sz val="12"/>
        <color rgb="FFFF0000"/>
        <rFont val="Arial"/>
        <family val="2"/>
      </rPr>
      <t xml:space="preserve">3 </t>
    </r>
    <r>
      <rPr>
        <sz val="12"/>
        <color rgb="FFFF0000"/>
        <rFont val="Arial"/>
        <family val="2"/>
      </rPr>
      <t>°C)</t>
    </r>
  </si>
  <si>
    <r>
      <t>kg/(m</t>
    </r>
    <r>
      <rPr>
        <vertAlign val="superscript"/>
        <sz val="12"/>
        <color rgb="FFFF0000"/>
        <rFont val="Arial"/>
        <family val="2"/>
      </rPr>
      <t xml:space="preserve">3 </t>
    </r>
    <r>
      <rPr>
        <sz val="12"/>
        <color rgb="FFFF0000"/>
        <rFont val="Arial"/>
        <family val="2"/>
      </rPr>
      <t>%)</t>
    </r>
  </si>
  <si>
    <r>
      <t>kg/(m</t>
    </r>
    <r>
      <rPr>
        <vertAlign val="superscript"/>
        <sz val="12"/>
        <color rgb="FFFF0000"/>
        <rFont val="Arial"/>
        <family val="2"/>
      </rPr>
      <t xml:space="preserve">3 </t>
    </r>
    <r>
      <rPr>
        <sz val="12"/>
        <color rgb="FFFF0000"/>
        <rFont val="Arial"/>
        <family val="2"/>
      </rPr>
      <t>hPa)</t>
    </r>
  </si>
  <si>
    <r>
      <t>u</t>
    </r>
    <r>
      <rPr>
        <b/>
        <vertAlign val="subscript"/>
        <sz val="12"/>
        <color rgb="FFFF0000"/>
        <rFont val="Arial"/>
        <family val="2"/>
      </rPr>
      <t>c</t>
    </r>
    <r>
      <rPr>
        <b/>
        <sz val="12"/>
        <color rgb="FFFF0000"/>
        <rFont val="Arial"/>
        <family val="2"/>
      </rPr>
      <t xml:space="preserve"> (Daire)=</t>
    </r>
  </si>
  <si>
    <r>
      <t>kg/cm</t>
    </r>
    <r>
      <rPr>
        <b/>
        <vertAlign val="superscript"/>
        <sz val="12"/>
        <color rgb="FFFF0000"/>
        <rFont val="Arial"/>
        <family val="2"/>
      </rPr>
      <t>3</t>
    </r>
  </si>
  <si>
    <t>Ecuación</t>
  </si>
  <si>
    <t>CIPM versión exponencial</t>
  </si>
  <si>
    <t>Calibración termómetro</t>
  </si>
  <si>
    <t>Certificado calibración</t>
  </si>
  <si>
    <t>resolución termómetro</t>
  </si>
  <si>
    <t>Deriva del termómetro</t>
  </si>
  <si>
    <t>rectangular</t>
  </si>
  <si>
    <t>Calibración higrómetro</t>
  </si>
  <si>
    <t>resolución higrómetro</t>
  </si>
  <si>
    <t>Deriva del higrómetro</t>
  </si>
  <si>
    <t>Presión (hPa)</t>
  </si>
  <si>
    <t>Calibración barómetro</t>
  </si>
  <si>
    <t>resolución barómetro</t>
  </si>
  <si>
    <t>Deriva del barómetro</t>
  </si>
  <si>
    <t>Incertidumbre estándar u(xi)</t>
  </si>
  <si>
    <t>Composición isotópica</t>
  </si>
  <si>
    <t>Lectura recipiente vacío g</t>
  </si>
  <si>
    <t>CIPM Versión Exponencial 2007</t>
  </si>
  <si>
    <t>Evaporación</t>
  </si>
  <si>
    <t>Resolución balanza, g</t>
  </si>
  <si>
    <t>Calibración, g</t>
  </si>
  <si>
    <t>Deriva,g</t>
  </si>
  <si>
    <t>Resolución termómetro, ºC</t>
  </si>
  <si>
    <t>Calibración termómetro, ºC</t>
  </si>
  <si>
    <t>Deriva termómetro, ºC</t>
  </si>
  <si>
    <t>Gradiente en la medición de la temperatura</t>
  </si>
  <si>
    <t>Equipo, Catálogo</t>
  </si>
  <si>
    <t>≥ 0,3</t>
  </si>
  <si>
    <r>
      <t>(mL)</t>
    </r>
    <r>
      <rPr>
        <vertAlign val="superscript"/>
        <sz val="12"/>
        <color rgb="FFFF0000"/>
        <rFont val="Arial"/>
        <family val="2"/>
      </rPr>
      <t>2</t>
    </r>
    <r>
      <rPr>
        <sz val="12"/>
        <color rgb="FFFF0000"/>
        <rFont val="Arial"/>
        <family val="2"/>
      </rPr>
      <t>/g</t>
    </r>
  </si>
  <si>
    <r>
      <t>u</t>
    </r>
    <r>
      <rPr>
        <b/>
        <vertAlign val="subscript"/>
        <sz val="12"/>
        <color rgb="FFFF0000"/>
        <rFont val="Arial"/>
        <family val="2"/>
      </rPr>
      <t>c</t>
    </r>
    <r>
      <rPr>
        <b/>
        <sz val="12"/>
        <color rgb="FFFF0000"/>
        <rFont val="Arial"/>
        <family val="2"/>
      </rPr>
      <t xml:space="preserve"> (V</t>
    </r>
    <r>
      <rPr>
        <b/>
        <vertAlign val="subscript"/>
        <sz val="12"/>
        <color rgb="FFFF0000"/>
        <rFont val="Arial"/>
        <family val="2"/>
      </rPr>
      <t>20</t>
    </r>
    <r>
      <rPr>
        <b/>
        <sz val="12"/>
        <color rgb="FFFF0000"/>
        <rFont val="Arial"/>
        <family val="2"/>
      </rPr>
      <t>)=</t>
    </r>
  </si>
  <si>
    <r>
      <t>V</t>
    </r>
    <r>
      <rPr>
        <b/>
        <vertAlign val="subscript"/>
        <sz val="12"/>
        <color rgb="FFFF0000"/>
        <rFont val="Arial"/>
        <family val="2"/>
      </rPr>
      <t>t</t>
    </r>
  </si>
  <si>
    <r>
      <t>u ( V</t>
    </r>
    <r>
      <rPr>
        <b/>
        <vertAlign val="subscript"/>
        <sz val="12"/>
        <color rgb="FFFF0000"/>
        <rFont val="Arial"/>
        <family val="2"/>
      </rPr>
      <t xml:space="preserve">t </t>
    </r>
    <r>
      <rPr>
        <b/>
        <sz val="12"/>
        <color rgb="FFFF0000"/>
        <rFont val="Arial"/>
        <family val="2"/>
      </rPr>
      <t>)</t>
    </r>
  </si>
  <si>
    <t>Lugar y Dirección de Comprobación</t>
  </si>
  <si>
    <t>Ecuación de TANAKA</t>
  </si>
  <si>
    <t>Fecha de Comprobación</t>
  </si>
  <si>
    <t xml:space="preserve">Código interno       </t>
  </si>
  <si>
    <t>INSTRUMENTO DE PESAJE DE FUNCIONAMIENTO NO AUTOMÁTICO-IPFNA</t>
  </si>
  <si>
    <r>
      <t>Densidad del agua (g/cm</t>
    </r>
    <r>
      <rPr>
        <b/>
        <vertAlign val="superscript"/>
        <sz val="12"/>
        <color rgb="FFFF0000"/>
        <rFont val="Arial"/>
        <family val="2"/>
      </rPr>
      <t>3</t>
    </r>
    <r>
      <rPr>
        <b/>
        <sz val="12"/>
        <color rgb="FFFF0000"/>
        <rFont val="Arial"/>
        <family val="2"/>
      </rPr>
      <t>)</t>
    </r>
  </si>
  <si>
    <t>Resolución termómetro</t>
  </si>
  <si>
    <t>Resolución barómetro</t>
  </si>
  <si>
    <r>
      <t>g/cm</t>
    </r>
    <r>
      <rPr>
        <vertAlign val="superscript"/>
        <sz val="11"/>
        <color rgb="FFFF0000"/>
        <rFont val="Arial"/>
        <family val="2"/>
      </rPr>
      <t>3</t>
    </r>
  </si>
  <si>
    <t>Indicación equipo</t>
  </si>
  <si>
    <t>Equipo</t>
  </si>
  <si>
    <t>Certificados</t>
  </si>
  <si>
    <t xml:space="preserve"> Equipo</t>
  </si>
  <si>
    <r>
      <t>g/(cm</t>
    </r>
    <r>
      <rPr>
        <vertAlign val="superscript"/>
        <sz val="11"/>
        <color rgb="FFFF0000"/>
        <rFont val="Arial"/>
        <family val="2"/>
      </rPr>
      <t xml:space="preserve">3 </t>
    </r>
    <r>
      <rPr>
        <sz val="11"/>
        <color rgb="FFFF0000"/>
        <rFont val="Arial"/>
        <family val="2"/>
      </rPr>
      <t>°C)</t>
    </r>
  </si>
  <si>
    <r>
      <t>g/(cm</t>
    </r>
    <r>
      <rPr>
        <vertAlign val="superscript"/>
        <sz val="11"/>
        <color rgb="FFFF0000"/>
        <rFont val="Arial"/>
        <family val="2"/>
      </rPr>
      <t xml:space="preserve">3 </t>
    </r>
    <r>
      <rPr>
        <sz val="11"/>
        <color rgb="FFFF0000"/>
        <rFont val="Arial"/>
        <family val="2"/>
      </rPr>
      <t>hPa)</t>
    </r>
  </si>
  <si>
    <r>
      <t>u</t>
    </r>
    <r>
      <rPr>
        <b/>
        <vertAlign val="subscript"/>
        <sz val="11"/>
        <color rgb="FFFF0000"/>
        <rFont val="Arial"/>
        <family val="2"/>
      </rPr>
      <t>c</t>
    </r>
    <r>
      <rPr>
        <b/>
        <sz val="11"/>
        <color rgb="FFFF0000"/>
        <rFont val="Arial"/>
        <family val="2"/>
      </rPr>
      <t xml:space="preserve"> (Dagua)=</t>
    </r>
  </si>
  <si>
    <r>
      <t>g/cm</t>
    </r>
    <r>
      <rPr>
        <b/>
        <vertAlign val="superscript"/>
        <sz val="11"/>
        <color rgb="FFFF0000"/>
        <rFont val="Arial"/>
        <family val="2"/>
      </rPr>
      <t>3</t>
    </r>
  </si>
  <si>
    <t>Normal k=2</t>
  </si>
  <si>
    <t>Normal k=1</t>
  </si>
  <si>
    <t>OBSERVACIONES</t>
  </si>
  <si>
    <r>
      <t>g/cm</t>
    </r>
    <r>
      <rPr>
        <b/>
        <vertAlign val="superscript"/>
        <sz val="12"/>
        <color rgb="FFFF0000"/>
        <rFont val="Arial"/>
        <family val="2"/>
      </rPr>
      <t>3</t>
    </r>
  </si>
  <si>
    <t xml:space="preserve">Grados de Libertad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</si>
</sst>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164" formatCode="0.00000"/>
    <numFmt numFmtId="165" formatCode="0.0000"/>
    <numFmt numFmtId="166" formatCode="0.000"/>
    <numFmt numFmtId="167" formatCode="0.0"/>
    <numFmt numFmtId="168" formatCode="0.000000"/>
    <numFmt numFmtId="169" formatCode="yyyy\-mm\-dd;@"/>
    <numFmt numFmtId="170" formatCode="0.000000000"/>
    <numFmt numFmtId="171" formatCode="0.0000000"/>
    <numFmt numFmtId="172" formatCode="0.0_ \ &quot;hPa&quot;"/>
    <numFmt numFmtId="173" formatCode="0.0_ \ &quot;°C&quot;"/>
    <numFmt numFmtId="174" formatCode="0\ &quot;°C&quot;"/>
    <numFmt numFmtId="175" formatCode="#,##0.0"/>
    <numFmt numFmtId="176" formatCode="#,##0.000"/>
    <numFmt numFmtId="177" formatCode="0\ 000.0"/>
    <numFmt numFmtId="178" formatCode="0.00\ &quot;mL&quot;"/>
    <numFmt numFmtId="179" formatCode="\5\ &quot;gal&quot;"/>
    <numFmt numFmtId="180" formatCode="00\ 000.0"/>
    <numFmt numFmtId="181" formatCode="0\ 000.00"/>
    <numFmt numFmtId="182" formatCode="0.E+00"/>
    <numFmt numFmtId="183" formatCode="0.00\ &quot;°C&quot;"/>
    <numFmt numFmtId="184" formatCode="0.00\ \°\C"/>
    <numFmt numFmtId="185" formatCode="0.00000000"/>
    <numFmt numFmtId="186" formatCode="0.0000000000"/>
    <numFmt numFmtId="187" formatCode="0.00000000000"/>
    <numFmt numFmtId="188" formatCode="0.0%"/>
    <numFmt numFmtId="189" formatCode="0.0E+00"/>
    <numFmt numFmtId="190" formatCode="0.000%"/>
    <numFmt numFmtId="191" formatCode="0.0000%"/>
    <numFmt numFmtId="192" formatCode="0.000000%"/>
    <numFmt numFmtId="193" formatCode="0.0000000%"/>
    <numFmt numFmtId="194" formatCode="0\ 000.\ 0"/>
  </numFmts>
  <fonts count="102"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b/>
      <sz val="12"/>
      <color theme="1"/>
      <name val="Arial"/>
      <family val="2"/>
    </font>
    <font>
      <sz val="12"/>
      <color theme="1"/>
      <name val="Arial"/>
      <family val="2"/>
    </font>
    <font>
      <b/>
      <sz val="14"/>
      <color theme="1"/>
      <name val="Arial"/>
      <family val="2"/>
    </font>
    <font>
      <b/>
      <sz val="12"/>
      <color rgb="FF000000"/>
      <name val="Arial"/>
      <family val="2"/>
    </font>
    <font>
      <b/>
      <sz val="10"/>
      <color theme="1"/>
      <name val="Arial"/>
      <family val="2"/>
    </font>
    <font>
      <sz val="12"/>
      <color theme="1"/>
      <name val="Arial Narrow"/>
      <family val="2"/>
    </font>
    <font>
      <sz val="12"/>
      <color rgb="FF006100"/>
      <name val="Tahoma"/>
      <family val="2"/>
    </font>
    <font>
      <b/>
      <sz val="12"/>
      <color theme="0"/>
      <name val="Arial"/>
      <family val="2"/>
    </font>
    <font>
      <b/>
      <sz val="12"/>
      <name val="Arial"/>
      <family val="2"/>
    </font>
    <font>
      <i/>
      <sz val="12"/>
      <color theme="1"/>
      <name val="Arial"/>
      <family val="2"/>
    </font>
    <font>
      <b/>
      <sz val="10"/>
      <name val="Arial"/>
      <family val="2"/>
    </font>
    <font>
      <sz val="10"/>
      <color theme="1"/>
      <name val="Arial"/>
      <family val="2"/>
    </font>
    <font>
      <b/>
      <vertAlign val="subscript"/>
      <sz val="12"/>
      <color theme="1"/>
      <name val="Arial"/>
      <family val="2"/>
    </font>
    <font>
      <b/>
      <sz val="14"/>
      <color theme="0"/>
      <name val="Arial"/>
      <family val="2"/>
    </font>
    <font>
      <b/>
      <sz val="8"/>
      <color theme="1"/>
      <name val="Arial"/>
      <family val="2"/>
    </font>
    <font>
      <b/>
      <vertAlign val="superscript"/>
      <sz val="10"/>
      <color theme="1"/>
      <name val="Arial"/>
      <family val="2"/>
    </font>
    <font>
      <sz val="10"/>
      <name val="Arial"/>
      <family val="2"/>
    </font>
    <font>
      <b/>
      <i/>
      <sz val="12"/>
      <color theme="1"/>
      <name val="Arial"/>
      <family val="2"/>
    </font>
    <font>
      <b/>
      <sz val="9"/>
      <name val="Arial"/>
      <family val="2"/>
    </font>
    <font>
      <b/>
      <sz val="18"/>
      <color theme="1"/>
      <name val="Arial"/>
      <family val="2"/>
    </font>
    <font>
      <b/>
      <vertAlign val="superscript"/>
      <sz val="12"/>
      <color theme="1"/>
      <name val="Arial"/>
      <family val="2"/>
    </font>
    <font>
      <vertAlign val="superscript"/>
      <sz val="12"/>
      <color theme="1"/>
      <name val="Arial"/>
      <family val="2"/>
    </font>
    <font>
      <b/>
      <vertAlign val="subscript"/>
      <sz val="14"/>
      <color theme="0"/>
      <name val="Arial"/>
      <family val="2"/>
    </font>
    <font>
      <b/>
      <sz val="14"/>
      <color rgb="FFFFFFFF"/>
      <name val="Arial"/>
      <family val="2"/>
    </font>
    <font>
      <b/>
      <vertAlign val="subscript"/>
      <sz val="14"/>
      <color rgb="FFFFFFFF"/>
      <name val="Arial"/>
      <family val="2"/>
    </font>
    <font>
      <b/>
      <vertAlign val="superscript"/>
      <sz val="14"/>
      <color rgb="FFFFFFFF"/>
      <name val="Arial"/>
      <family val="2"/>
    </font>
    <font>
      <sz val="14"/>
      <color theme="0"/>
      <name val="Arial"/>
      <family val="2"/>
    </font>
    <font>
      <sz val="12"/>
      <color rgb="FF000000"/>
      <name val="Arial"/>
      <family val="2"/>
    </font>
    <font>
      <sz val="12"/>
      <name val="Arial"/>
      <family val="2"/>
    </font>
    <font>
      <sz val="12"/>
      <color theme="0"/>
      <name val="Arial"/>
      <family val="2"/>
    </font>
    <font>
      <b/>
      <i/>
      <sz val="12"/>
      <name val="Arial"/>
      <family val="2"/>
    </font>
    <font>
      <sz val="11"/>
      <color rgb="FF006100"/>
      <name val="Calibri"/>
      <family val="2"/>
      <scheme val="minor"/>
    </font>
    <font>
      <vertAlign val="superscript"/>
      <sz val="14"/>
      <color rgb="FFFFFFFF"/>
      <name val="Arial"/>
      <family val="2"/>
    </font>
    <font>
      <b/>
      <vertAlign val="superscript"/>
      <sz val="18"/>
      <color rgb="FFFFFFFF"/>
      <name val="Arial"/>
      <family val="2"/>
    </font>
    <font>
      <sz val="11"/>
      <color rgb="FFFFFFFF"/>
      <name val="Arial"/>
      <family val="2"/>
    </font>
    <font>
      <sz val="9"/>
      <color indexed="81"/>
      <name val="Tahoma"/>
      <family val="2"/>
    </font>
    <font>
      <b/>
      <sz val="9"/>
      <color indexed="81"/>
      <name val="Tahoma"/>
      <family val="2"/>
    </font>
    <font>
      <b/>
      <i/>
      <sz val="12"/>
      <color theme="0"/>
      <name val="Arial"/>
      <family val="2"/>
    </font>
    <font>
      <sz val="12"/>
      <color theme="1"/>
      <name val="Calibri"/>
      <family val="2"/>
      <scheme val="minor"/>
    </font>
    <font>
      <b/>
      <i/>
      <vertAlign val="superscript"/>
      <sz val="12"/>
      <color theme="0"/>
      <name val="Arial"/>
      <family val="2"/>
    </font>
    <font>
      <b/>
      <sz val="11"/>
      <color theme="1"/>
      <name val="Arial"/>
      <family val="2"/>
    </font>
    <font>
      <b/>
      <i/>
      <sz val="14"/>
      <color theme="0"/>
      <name val="Arial"/>
      <family val="2"/>
    </font>
    <font>
      <b/>
      <vertAlign val="superscript"/>
      <sz val="14"/>
      <color theme="0"/>
      <name val="Arial"/>
      <family val="2"/>
    </font>
    <font>
      <b/>
      <sz val="11"/>
      <color theme="1"/>
      <name val="Calibri"/>
      <family val="2"/>
      <scheme val="minor"/>
    </font>
    <font>
      <sz val="11"/>
      <color theme="1"/>
      <name val="Calibri"/>
      <family val="2"/>
      <scheme val="minor"/>
    </font>
    <font>
      <b/>
      <vertAlign val="superscript"/>
      <sz val="12"/>
      <color theme="0"/>
      <name val="Arial"/>
      <family val="2"/>
    </font>
    <font>
      <sz val="11"/>
      <name val="Calibri"/>
      <family val="2"/>
      <scheme val="minor"/>
    </font>
    <font>
      <vertAlign val="superscript"/>
      <sz val="12"/>
      <color theme="0"/>
      <name val="Arial"/>
      <family val="2"/>
    </font>
    <font>
      <b/>
      <sz val="11"/>
      <color theme="0"/>
      <name val="Calibri"/>
      <family val="2"/>
      <scheme val="minor"/>
    </font>
    <font>
      <sz val="12"/>
      <name val="Arial Narrow"/>
      <family val="2"/>
    </font>
    <font>
      <b/>
      <sz val="12"/>
      <name val="Arial Narrow"/>
      <family val="2"/>
    </font>
    <font>
      <b/>
      <i/>
      <sz val="12"/>
      <name val="Arial Narrow"/>
      <family val="2"/>
    </font>
    <font>
      <sz val="11"/>
      <name val="Arial"/>
      <family val="2"/>
    </font>
    <font>
      <b/>
      <i/>
      <sz val="11"/>
      <name val="Arial"/>
      <family val="2"/>
    </font>
    <font>
      <i/>
      <sz val="11"/>
      <name val="Arial"/>
      <family val="2"/>
    </font>
    <font>
      <b/>
      <sz val="11"/>
      <name val="Arial"/>
      <family val="2"/>
    </font>
    <font>
      <sz val="11"/>
      <name val="Arial Narrow"/>
      <family val="2"/>
    </font>
    <font>
      <sz val="10"/>
      <name val="Arial Narrow"/>
      <family val="2"/>
    </font>
    <font>
      <i/>
      <sz val="10"/>
      <name val="Arial"/>
      <family val="2"/>
    </font>
    <font>
      <i/>
      <sz val="12"/>
      <name val="Arial"/>
      <family val="2"/>
    </font>
    <font>
      <b/>
      <i/>
      <vertAlign val="superscript"/>
      <sz val="12"/>
      <name val="Arial"/>
      <family val="2"/>
    </font>
    <font>
      <sz val="10"/>
      <color theme="0"/>
      <name val="Arial"/>
      <family val="2"/>
    </font>
    <font>
      <vertAlign val="superscript"/>
      <sz val="10"/>
      <color theme="0"/>
      <name val="Arial"/>
      <family val="2"/>
    </font>
    <font>
      <sz val="12"/>
      <color theme="0"/>
      <name val="Arial Narrow"/>
      <family val="2"/>
    </font>
    <font>
      <b/>
      <i/>
      <vertAlign val="superscript"/>
      <sz val="14"/>
      <color theme="0"/>
      <name val="Arial"/>
      <family val="2"/>
    </font>
    <font>
      <sz val="12"/>
      <color theme="1"/>
      <name val="Calibri"/>
      <family val="2"/>
    </font>
    <font>
      <vertAlign val="subscript"/>
      <sz val="12"/>
      <color theme="1"/>
      <name val="Calibri"/>
      <family val="2"/>
    </font>
    <font>
      <b/>
      <sz val="11"/>
      <color rgb="FFFF0000"/>
      <name val="Calibri"/>
      <family val="2"/>
      <scheme val="minor"/>
    </font>
    <font>
      <sz val="11"/>
      <color rgb="FFFF0000"/>
      <name val="Calibri"/>
      <family val="2"/>
      <scheme val="minor"/>
    </font>
    <font>
      <b/>
      <sz val="12"/>
      <color rgb="FFFF0000"/>
      <name val="Arial"/>
      <family val="2"/>
    </font>
    <font>
      <sz val="12"/>
      <color rgb="FFFF0000"/>
      <name val="Arial"/>
      <family val="2"/>
    </font>
    <font>
      <vertAlign val="superscript"/>
      <sz val="12"/>
      <color rgb="FFFF0000"/>
      <name val="Arial"/>
      <family val="2"/>
    </font>
    <font>
      <sz val="12"/>
      <color rgb="FFFF0000"/>
      <name val="Arial Narrow"/>
      <family val="2"/>
    </font>
    <font>
      <b/>
      <i/>
      <sz val="12"/>
      <color rgb="FFFF0000"/>
      <name val="Arial"/>
      <family val="2"/>
    </font>
    <font>
      <b/>
      <sz val="10"/>
      <color rgb="FFFF0000"/>
      <name val="Arial"/>
      <family val="2"/>
    </font>
    <font>
      <b/>
      <vertAlign val="superscript"/>
      <sz val="10"/>
      <color rgb="FFFF0000"/>
      <name val="Arial"/>
      <family val="2"/>
    </font>
    <font>
      <sz val="18"/>
      <color rgb="FFFF0000"/>
      <name val="Calibri"/>
      <family val="2"/>
      <scheme val="minor"/>
    </font>
    <font>
      <b/>
      <sz val="18"/>
      <color rgb="FFFF0000"/>
      <name val="Arial"/>
      <family val="2"/>
    </font>
    <font>
      <b/>
      <sz val="20"/>
      <color rgb="FFFF0000"/>
      <name val="Arial"/>
      <family val="2"/>
    </font>
    <font>
      <b/>
      <i/>
      <sz val="10"/>
      <color rgb="FFFF0000"/>
      <name val="Arial"/>
      <family val="2"/>
    </font>
    <font>
      <b/>
      <i/>
      <vertAlign val="subscript"/>
      <sz val="10"/>
      <color rgb="FFFF0000"/>
      <name val="Arial"/>
      <family val="2"/>
    </font>
    <font>
      <b/>
      <vertAlign val="subscript"/>
      <sz val="10"/>
      <color rgb="FFFF0000"/>
      <name val="Arial"/>
      <family val="2"/>
    </font>
    <font>
      <b/>
      <i/>
      <vertAlign val="superscript"/>
      <sz val="10"/>
      <color rgb="FFFF0000"/>
      <name val="Arial"/>
      <family val="2"/>
    </font>
    <font>
      <b/>
      <vertAlign val="superscript"/>
      <sz val="12"/>
      <color rgb="FFFF0000"/>
      <name val="Arial"/>
      <family val="2"/>
    </font>
    <font>
      <b/>
      <sz val="11"/>
      <color rgb="FFFF0000"/>
      <name val="Arial"/>
      <family val="2"/>
    </font>
    <font>
      <b/>
      <sz val="14"/>
      <color rgb="FFFF0000"/>
      <name val="Arial"/>
      <family val="2"/>
    </font>
    <font>
      <b/>
      <vertAlign val="superscript"/>
      <sz val="11"/>
      <color rgb="FFFF0000"/>
      <name val="Arial"/>
      <family val="2"/>
    </font>
    <font>
      <sz val="11"/>
      <color rgb="FFFF0000"/>
      <name val="Arial"/>
      <family val="2"/>
    </font>
    <font>
      <sz val="14"/>
      <color rgb="FFFF0000"/>
      <name val="Calibri"/>
      <family val="2"/>
      <scheme val="minor"/>
    </font>
    <font>
      <sz val="14"/>
      <color rgb="FFFF0000"/>
      <name val="Arial"/>
      <family val="2"/>
    </font>
    <font>
      <vertAlign val="superscript"/>
      <sz val="14"/>
      <color rgb="FFFF0000"/>
      <name val="Arial"/>
      <family val="2"/>
    </font>
    <font>
      <vertAlign val="superscript"/>
      <sz val="11"/>
      <color rgb="FFFF0000"/>
      <name val="Arial"/>
      <family val="2"/>
    </font>
    <font>
      <b/>
      <i/>
      <vertAlign val="subscript"/>
      <sz val="12"/>
      <color rgb="FFFF0000"/>
      <name val="Arial"/>
      <family val="2"/>
    </font>
    <font>
      <b/>
      <vertAlign val="subscript"/>
      <sz val="12"/>
      <color rgb="FFFF0000"/>
      <name val="Arial"/>
      <family val="2"/>
    </font>
    <font>
      <b/>
      <vertAlign val="subscript"/>
      <sz val="11"/>
      <color rgb="FFFF0000"/>
      <name val="Arial"/>
      <family val="2"/>
    </font>
  </fonts>
  <fills count="39">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4" tint="-0.499984740745262"/>
        <bgColor indexed="64"/>
      </patternFill>
    </fill>
    <fill>
      <patternFill patternType="solid">
        <fgColor rgb="FF9BC2E6"/>
        <bgColor indexed="64"/>
      </patternFill>
    </fill>
    <fill>
      <patternFill patternType="solid">
        <fgColor rgb="FFFCE4D6"/>
        <bgColor indexed="64"/>
      </patternFill>
    </fill>
    <fill>
      <patternFill patternType="solid">
        <fgColor rgb="FFDDEBF7"/>
        <bgColor indexed="64"/>
      </patternFill>
    </fill>
    <fill>
      <patternFill patternType="solid">
        <fgColor rgb="FF1F4E78"/>
        <bgColor indexed="64"/>
      </patternFill>
    </fill>
    <fill>
      <patternFill patternType="solid">
        <fgColor rgb="FFFF0000"/>
        <bgColor indexed="64"/>
      </patternFill>
    </fill>
    <fill>
      <patternFill patternType="solid">
        <fgColor rgb="FFC6EFCE"/>
      </patternFill>
    </fill>
    <fill>
      <patternFill patternType="solid">
        <fgColor rgb="FFF2DCDB"/>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rgb="FF0070C0"/>
        <bgColor indexed="64"/>
      </patternFill>
    </fill>
    <fill>
      <patternFill patternType="solid">
        <fgColor rgb="FF538DD5"/>
        <bgColor indexed="64"/>
      </patternFill>
    </fill>
    <fill>
      <patternFill patternType="solid">
        <fgColor rgb="FF91C6F7"/>
        <bgColor indexed="64"/>
      </patternFill>
    </fill>
    <fill>
      <patternFill patternType="solid">
        <fgColor rgb="FFC8E2FB"/>
        <bgColor indexed="64"/>
      </patternFill>
    </fill>
    <fill>
      <patternFill patternType="solid">
        <fgColor rgb="FF81B0E4"/>
        <bgColor indexed="64"/>
      </patternFill>
    </fill>
    <fill>
      <patternFill patternType="darkGray">
        <bgColor rgb="FFFFFF00"/>
      </patternFill>
    </fill>
    <fill>
      <gradientFill degree="90">
        <stop position="0">
          <color theme="0"/>
        </stop>
        <stop position="1">
          <color rgb="FFFFFF00"/>
        </stop>
      </gradientFill>
    </fill>
    <fill>
      <gradientFill type="path" left="1" right="1">
        <stop position="0">
          <color rgb="FF7030A0"/>
        </stop>
        <stop position="1">
          <color rgb="FFFFFF00"/>
        </stop>
      </gradientFill>
    </fill>
    <fill>
      <patternFill patternType="solid">
        <fgColor rgb="FF073763"/>
        <bgColor indexed="64"/>
      </patternFill>
    </fill>
    <fill>
      <patternFill patternType="solid">
        <fgColor rgb="FF8DB4E2"/>
        <bgColor indexed="64"/>
      </patternFill>
    </fill>
    <fill>
      <gradientFill degree="90">
        <stop position="0">
          <color rgb="FFFFFF00"/>
        </stop>
        <stop position="1">
          <color rgb="FF7030A0"/>
        </stop>
      </gradientFill>
    </fill>
    <fill>
      <patternFill patternType="darkGray">
        <bgColor rgb="FF0070C0"/>
      </patternFill>
    </fill>
    <fill>
      <patternFill patternType="solid">
        <fgColor theme="8" tint="0.39997558519241921"/>
        <bgColor indexed="64"/>
      </patternFill>
    </fill>
    <fill>
      <patternFill patternType="solid">
        <fgColor rgb="FFAFDF9F"/>
        <bgColor indexed="64"/>
      </patternFill>
    </fill>
    <fill>
      <patternFill patternType="solid">
        <fgColor rgb="FFFF9999"/>
        <bgColor indexed="64"/>
      </patternFill>
    </fill>
    <fill>
      <patternFill patternType="solid">
        <fgColor theme="9" tint="0.59999389629810485"/>
        <bgColor indexed="64"/>
      </patternFill>
    </fill>
    <fill>
      <patternFill patternType="solid">
        <fgColor indexed="55"/>
        <bgColor indexed="64"/>
      </patternFill>
    </fill>
    <fill>
      <patternFill patternType="solid">
        <fgColor theme="3" tint="0.39997558519241921"/>
        <bgColor indexed="64"/>
      </patternFill>
    </fill>
    <fill>
      <patternFill patternType="solid">
        <fgColor theme="8"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bgColor indexed="64"/>
      </patternFill>
    </fill>
  </fills>
  <borders count="80">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ck">
        <color indexed="64"/>
      </right>
      <top/>
      <bottom/>
      <diagonal/>
    </border>
    <border>
      <left style="medium">
        <color indexed="64"/>
      </left>
      <right style="thick">
        <color indexed="64"/>
      </right>
      <top/>
      <bottom style="medium">
        <color indexed="64"/>
      </bottom>
      <diagonal/>
    </border>
    <border>
      <left style="thick">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theme="0"/>
      </left>
      <right style="medium">
        <color theme="0"/>
      </right>
      <top style="medium">
        <color theme="0"/>
      </top>
      <bottom style="medium">
        <color theme="0"/>
      </bottom>
      <diagonal/>
    </border>
    <border>
      <left/>
      <right/>
      <top style="thin">
        <color indexed="64"/>
      </top>
      <bottom/>
      <diagonal/>
    </border>
  </borders>
  <cellStyleXfs count="13">
    <xf numFmtId="0" fontId="0" fillId="0" borderId="0"/>
    <xf numFmtId="0" fontId="13" fillId="10" borderId="0" applyNumberFormat="0" applyBorder="0" applyAlignment="0" applyProtection="0"/>
    <xf numFmtId="0" fontId="18" fillId="22" borderId="8">
      <alignment horizontal="center" vertical="center" wrapText="1"/>
    </xf>
    <xf numFmtId="0" fontId="18" fillId="14" borderId="8">
      <alignment horizontal="center" vertical="center" wrapText="1"/>
    </xf>
    <xf numFmtId="0" fontId="18" fillId="23" borderId="8">
      <alignment horizontal="center" vertical="center" wrapText="1"/>
    </xf>
    <xf numFmtId="0" fontId="12" fillId="2" borderId="0">
      <alignment horizontal="center"/>
    </xf>
    <xf numFmtId="0" fontId="12" fillId="24" borderId="0">
      <alignment horizontal="center"/>
    </xf>
    <xf numFmtId="0" fontId="18" fillId="9" borderId="9">
      <alignment horizontal="center"/>
    </xf>
    <xf numFmtId="0" fontId="38" fillId="10" borderId="0" applyNumberFormat="0" applyBorder="0" applyAlignment="0" applyProtection="0"/>
    <xf numFmtId="2" fontId="18" fillId="27" borderId="39" applyFont="0" applyBorder="0" applyAlignment="0">
      <alignment horizontal="center" vertical="center" wrapText="1"/>
      <protection locked="0"/>
    </xf>
    <xf numFmtId="0" fontId="8" fillId="28" borderId="9" applyBorder="0">
      <alignment horizontal="center" vertical="center"/>
    </xf>
    <xf numFmtId="9" fontId="51" fillId="0" borderId="0" applyFont="0" applyFill="0" applyBorder="0" applyAlignment="0" applyProtection="0"/>
    <xf numFmtId="0" fontId="23" fillId="0" borderId="0"/>
  </cellStyleXfs>
  <cellXfs count="1977">
    <xf numFmtId="0" fontId="0" fillId="0" borderId="0" xfId="0"/>
    <xf numFmtId="2" fontId="25" fillId="16" borderId="18" xfId="1" applyNumberFormat="1" applyFont="1" applyFill="1" applyBorder="1" applyAlignment="1" applyProtection="1">
      <alignment horizontal="center" vertical="center"/>
      <protection hidden="1"/>
    </xf>
    <xf numFmtId="2" fontId="25" fillId="16" borderId="21" xfId="1" applyNumberFormat="1" applyFont="1" applyFill="1" applyBorder="1" applyAlignment="1" applyProtection="1">
      <alignment horizontal="center" vertical="center" wrapText="1"/>
      <protection hidden="1"/>
    </xf>
    <xf numFmtId="2" fontId="17" fillId="16" borderId="21" xfId="1" applyNumberFormat="1" applyFont="1" applyFill="1" applyBorder="1" applyAlignment="1" applyProtection="1">
      <alignment horizontal="center" vertical="center" wrapText="1"/>
      <protection hidden="1"/>
    </xf>
    <xf numFmtId="0" fontId="8" fillId="0" borderId="0" xfId="0" applyFont="1" applyProtection="1">
      <protection hidden="1"/>
    </xf>
    <xf numFmtId="0" fontId="8" fillId="0" borderId="0" xfId="0" applyFont="1" applyBorder="1" applyProtection="1">
      <protection hidden="1"/>
    </xf>
    <xf numFmtId="0" fontId="8" fillId="0" borderId="6" xfId="0" applyFont="1" applyBorder="1" applyProtection="1">
      <protection hidden="1"/>
    </xf>
    <xf numFmtId="0" fontId="8" fillId="0" borderId="8" xfId="0" applyFont="1" applyBorder="1" applyProtection="1">
      <protection hidden="1"/>
    </xf>
    <xf numFmtId="167" fontId="8" fillId="15" borderId="9" xfId="0" applyNumberFormat="1" applyFont="1" applyFill="1" applyBorder="1" applyAlignment="1" applyProtection="1">
      <alignment horizontal="center" vertical="center" wrapText="1"/>
      <protection hidden="1"/>
    </xf>
    <xf numFmtId="0" fontId="11" fillId="16" borderId="18" xfId="0" applyFont="1" applyFill="1" applyBorder="1" applyAlignment="1" applyProtection="1">
      <alignment horizontal="center" vertical="center" wrapText="1"/>
      <protection hidden="1"/>
    </xf>
    <xf numFmtId="0" fontId="12" fillId="24" borderId="1" xfId="6" applyBorder="1" applyAlignment="1" applyProtection="1">
      <alignment horizontal="center" vertical="center"/>
      <protection locked="0" hidden="1"/>
    </xf>
    <xf numFmtId="14" fontId="18" fillId="15" borderId="21" xfId="0" applyNumberFormat="1" applyFont="1" applyFill="1" applyBorder="1" applyAlignment="1" applyProtection="1">
      <alignment horizontal="center" vertical="center" wrapText="1"/>
      <protection hidden="1"/>
    </xf>
    <xf numFmtId="0" fontId="11" fillId="16" borderId="21" xfId="0" applyFont="1" applyFill="1" applyBorder="1" applyAlignment="1" applyProtection="1">
      <alignment horizontal="center" vertical="center" wrapText="1"/>
      <protection hidden="1"/>
    </xf>
    <xf numFmtId="0" fontId="8" fillId="2" borderId="8" xfId="0" applyFont="1" applyFill="1" applyBorder="1" applyAlignment="1" applyProtection="1">
      <alignment vertical="center" wrapText="1"/>
      <protection hidden="1"/>
    </xf>
    <xf numFmtId="0" fontId="8" fillId="2" borderId="0" xfId="0" applyFont="1" applyFill="1" applyBorder="1" applyAlignment="1" applyProtection="1">
      <alignment horizontal="center" vertical="center"/>
      <protection hidden="1"/>
    </xf>
    <xf numFmtId="0" fontId="8" fillId="0" borderId="0" xfId="0" applyFont="1" applyAlignment="1" applyProtection="1">
      <alignment vertical="center" wrapText="1"/>
      <protection hidden="1"/>
    </xf>
    <xf numFmtId="0" fontId="8" fillId="2" borderId="0" xfId="0" applyFont="1" applyFill="1" applyBorder="1" applyAlignment="1" applyProtection="1">
      <alignment vertical="center" wrapText="1"/>
      <protection hidden="1"/>
    </xf>
    <xf numFmtId="0" fontId="7" fillId="2" borderId="0" xfId="0" applyFont="1" applyFill="1" applyBorder="1" applyAlignment="1" applyProtection="1">
      <alignment horizontal="center" vertical="center" wrapText="1"/>
      <protection hidden="1"/>
    </xf>
    <xf numFmtId="0" fontId="8" fillId="2" borderId="0" xfId="0" applyFont="1" applyFill="1" applyAlignment="1" applyProtection="1">
      <alignment vertical="center" wrapText="1"/>
      <protection hidden="1"/>
    </xf>
    <xf numFmtId="0" fontId="8" fillId="2" borderId="0" xfId="0" applyFont="1" applyFill="1" applyProtection="1">
      <protection hidden="1"/>
    </xf>
    <xf numFmtId="11" fontId="8" fillId="2" borderId="0" xfId="0" applyNumberFormat="1" applyFont="1" applyFill="1" applyBorder="1" applyAlignment="1" applyProtection="1">
      <alignment horizontal="center" vertical="center"/>
      <protection hidden="1"/>
    </xf>
    <xf numFmtId="0" fontId="11" fillId="21" borderId="7" xfId="0" applyFont="1" applyFill="1" applyBorder="1" applyAlignment="1" applyProtection="1">
      <alignment horizontal="center" vertical="center" wrapText="1"/>
      <protection hidden="1"/>
    </xf>
    <xf numFmtId="0" fontId="11" fillId="21" borderId="21" xfId="0" applyFont="1" applyFill="1" applyBorder="1" applyAlignment="1" applyProtection="1">
      <alignment horizontal="center" vertical="center" wrapText="1"/>
      <protection hidden="1"/>
    </xf>
    <xf numFmtId="0" fontId="11" fillId="21" borderId="19" xfId="0" applyFont="1" applyFill="1" applyBorder="1" applyAlignment="1" applyProtection="1">
      <alignment horizontal="center" vertical="center" wrapText="1"/>
      <protection hidden="1"/>
    </xf>
    <xf numFmtId="0" fontId="8" fillId="21" borderId="8" xfId="0" applyFont="1" applyFill="1" applyBorder="1" applyAlignment="1" applyProtection="1">
      <alignment horizontal="center" vertical="center"/>
      <protection hidden="1"/>
    </xf>
    <xf numFmtId="0" fontId="8" fillId="2" borderId="0" xfId="1" applyFont="1" applyFill="1" applyBorder="1" applyAlignment="1" applyProtection="1">
      <alignment horizontal="center" vertical="center"/>
      <protection hidden="1"/>
    </xf>
    <xf numFmtId="11" fontId="8" fillId="2" borderId="0" xfId="1" applyNumberFormat="1" applyFont="1" applyFill="1" applyBorder="1" applyAlignment="1" applyProtection="1">
      <alignment horizontal="center" vertical="center"/>
      <protection hidden="1"/>
    </xf>
    <xf numFmtId="1" fontId="18" fillId="15" borderId="18" xfId="0" applyNumberFormat="1" applyFont="1" applyFill="1" applyBorder="1" applyAlignment="1" applyProtection="1">
      <alignment horizontal="center" vertical="center" wrapText="1"/>
      <protection hidden="1"/>
    </xf>
    <xf numFmtId="0" fontId="8" fillId="19" borderId="7" xfId="0" applyFont="1" applyFill="1" applyBorder="1" applyAlignment="1" applyProtection="1">
      <alignment horizontal="center" vertical="center"/>
      <protection hidden="1"/>
    </xf>
    <xf numFmtId="2" fontId="18" fillId="19" borderId="21" xfId="0" applyNumberFormat="1" applyFont="1" applyFill="1" applyBorder="1" applyAlignment="1" applyProtection="1">
      <alignment horizontal="center" vertical="center" wrapText="1"/>
      <protection hidden="1"/>
    </xf>
    <xf numFmtId="1" fontId="18" fillId="15" borderId="21" xfId="0" applyNumberFormat="1" applyFont="1" applyFill="1" applyBorder="1" applyAlignment="1" applyProtection="1">
      <alignment horizontal="center" vertical="center" wrapText="1"/>
      <protection hidden="1"/>
    </xf>
    <xf numFmtId="167" fontId="18" fillId="19" borderId="19" xfId="0" applyNumberFormat="1" applyFont="1" applyFill="1" applyBorder="1" applyAlignment="1" applyProtection="1">
      <alignment horizontal="center" vertical="center" wrapText="1"/>
      <protection hidden="1"/>
    </xf>
    <xf numFmtId="1" fontId="8" fillId="19" borderId="8" xfId="0" applyNumberFormat="1" applyFont="1" applyFill="1" applyBorder="1" applyAlignment="1" applyProtection="1">
      <alignment horizontal="center" vertical="center"/>
      <protection hidden="1"/>
    </xf>
    <xf numFmtId="0" fontId="8" fillId="2" borderId="2" xfId="0" applyFont="1" applyFill="1" applyBorder="1" applyProtection="1">
      <protection hidden="1"/>
    </xf>
    <xf numFmtId="0" fontId="8" fillId="2" borderId="3" xfId="0" applyFont="1" applyFill="1" applyBorder="1" applyProtection="1">
      <protection hidden="1"/>
    </xf>
    <xf numFmtId="0" fontId="8" fillId="2" borderId="10" xfId="0" applyFont="1" applyFill="1" applyBorder="1" applyProtection="1">
      <protection hidden="1"/>
    </xf>
    <xf numFmtId="0" fontId="8" fillId="2" borderId="0" xfId="0" applyFont="1" applyFill="1" applyBorder="1" applyProtection="1">
      <protection hidden="1"/>
    </xf>
    <xf numFmtId="0" fontId="8" fillId="0" borderId="2" xfId="0" applyFont="1" applyBorder="1" applyAlignment="1" applyProtection="1">
      <alignment horizontal="center" vertical="center"/>
      <protection hidden="1"/>
    </xf>
    <xf numFmtId="0" fontId="8" fillId="0" borderId="69" xfId="0" applyFont="1" applyBorder="1" applyAlignment="1" applyProtection="1">
      <alignment horizontal="center" vertical="center"/>
      <protection hidden="1"/>
    </xf>
    <xf numFmtId="0" fontId="7" fillId="2" borderId="73" xfId="0" applyFont="1" applyFill="1" applyBorder="1" applyAlignment="1" applyProtection="1">
      <alignment horizontal="right"/>
      <protection hidden="1"/>
    </xf>
    <xf numFmtId="0" fontId="8" fillId="2" borderId="0" xfId="0" applyFont="1" applyFill="1" applyBorder="1" applyAlignment="1" applyProtection="1">
      <alignment horizontal="right" vertical="top"/>
      <protection hidden="1"/>
    </xf>
    <xf numFmtId="2" fontId="8" fillId="12" borderId="9" xfId="0" applyNumberFormat="1" applyFont="1" applyFill="1" applyBorder="1" applyAlignment="1" applyProtection="1">
      <alignment horizontal="center" vertical="center"/>
      <protection hidden="1"/>
    </xf>
    <xf numFmtId="2" fontId="8" fillId="5" borderId="33" xfId="0" applyNumberFormat="1" applyFont="1" applyFill="1" applyBorder="1" applyAlignment="1" applyProtection="1">
      <alignment horizontal="center" vertical="center"/>
      <protection hidden="1"/>
    </xf>
    <xf numFmtId="2" fontId="18" fillId="15" borderId="54" xfId="0" applyNumberFormat="1" applyFont="1" applyFill="1" applyBorder="1" applyAlignment="1" applyProtection="1">
      <alignment vertical="center" wrapText="1"/>
      <protection hidden="1"/>
    </xf>
    <xf numFmtId="2" fontId="18" fillId="15" borderId="55" xfId="0" applyNumberFormat="1" applyFont="1" applyFill="1" applyBorder="1" applyAlignment="1" applyProtection="1">
      <alignment vertical="center" wrapText="1"/>
      <protection hidden="1"/>
    </xf>
    <xf numFmtId="1" fontId="18" fillId="15" borderId="53" xfId="0" applyNumberFormat="1" applyFont="1" applyFill="1" applyBorder="1" applyAlignment="1" applyProtection="1">
      <alignment vertical="center" wrapText="1"/>
      <protection hidden="1"/>
    </xf>
    <xf numFmtId="1" fontId="18" fillId="15" borderId="59" xfId="0" applyNumberFormat="1" applyFont="1" applyFill="1" applyBorder="1" applyAlignment="1" applyProtection="1">
      <alignment vertical="center" wrapText="1"/>
      <protection hidden="1"/>
    </xf>
    <xf numFmtId="0" fontId="7" fillId="5" borderId="41" xfId="0" applyFont="1" applyFill="1" applyBorder="1" applyAlignment="1" applyProtection="1">
      <alignment horizontal="center" vertical="center"/>
      <protection hidden="1"/>
    </xf>
    <xf numFmtId="0" fontId="8" fillId="12" borderId="36" xfId="0" applyFont="1" applyFill="1" applyBorder="1" applyAlignment="1" applyProtection="1">
      <alignment horizontal="center" vertical="center"/>
      <protection hidden="1"/>
    </xf>
    <xf numFmtId="0" fontId="7" fillId="2" borderId="74" xfId="0" applyFont="1" applyFill="1" applyBorder="1" applyAlignment="1" applyProtection="1">
      <alignment horizontal="right"/>
      <protection hidden="1"/>
    </xf>
    <xf numFmtId="0" fontId="8" fillId="2" borderId="75" xfId="0" applyFont="1" applyFill="1" applyBorder="1" applyAlignment="1" applyProtection="1">
      <alignment horizontal="right" vertical="top"/>
      <protection hidden="1"/>
    </xf>
    <xf numFmtId="0" fontId="8" fillId="2" borderId="5" xfId="0" applyFont="1" applyFill="1" applyBorder="1" applyProtection="1">
      <protection hidden="1"/>
    </xf>
    <xf numFmtId="0" fontId="7" fillId="2" borderId="5" xfId="0" applyFont="1" applyFill="1" applyBorder="1" applyAlignment="1" applyProtection="1">
      <alignment horizontal="center"/>
      <protection hidden="1"/>
    </xf>
    <xf numFmtId="2" fontId="8" fillId="12" borderId="42" xfId="0" applyNumberFormat="1" applyFont="1" applyFill="1" applyBorder="1" applyAlignment="1" applyProtection="1">
      <alignment horizontal="center" vertical="center"/>
      <protection hidden="1"/>
    </xf>
    <xf numFmtId="2" fontId="8" fillId="5" borderId="36" xfId="0" applyNumberFormat="1" applyFont="1" applyFill="1" applyBorder="1" applyAlignment="1" applyProtection="1">
      <alignment horizontal="center" vertical="center"/>
      <protection hidden="1"/>
    </xf>
    <xf numFmtId="0" fontId="7" fillId="2" borderId="7" xfId="0" applyFont="1" applyFill="1" applyBorder="1" applyAlignment="1" applyProtection="1">
      <alignment horizontal="right"/>
      <protection hidden="1"/>
    </xf>
    <xf numFmtId="0" fontId="30" fillId="4" borderId="29" xfId="0" applyFont="1" applyFill="1" applyBorder="1" applyAlignment="1" applyProtection="1">
      <alignment horizontal="center" vertical="center" wrapText="1"/>
      <protection hidden="1"/>
    </xf>
    <xf numFmtId="2" fontId="8" fillId="12" borderId="51" xfId="0" applyNumberFormat="1" applyFont="1" applyFill="1" applyBorder="1" applyAlignment="1" applyProtection="1">
      <alignment horizontal="center" vertical="center"/>
      <protection hidden="1"/>
    </xf>
    <xf numFmtId="2" fontId="8" fillId="13" borderId="35" xfId="0" applyNumberFormat="1" applyFont="1" applyFill="1" applyBorder="1" applyAlignment="1" applyProtection="1">
      <alignment horizontal="center" vertical="center"/>
      <protection hidden="1"/>
    </xf>
    <xf numFmtId="0" fontId="9" fillId="4" borderId="31" xfId="0" applyFont="1" applyFill="1" applyBorder="1" applyAlignment="1" applyProtection="1">
      <alignment vertical="top" wrapText="1"/>
      <protection hidden="1"/>
    </xf>
    <xf numFmtId="165" fontId="8" fillId="12" borderId="33" xfId="0" applyNumberFormat="1" applyFont="1" applyFill="1" applyBorder="1" applyAlignment="1" applyProtection="1">
      <alignment horizontal="center" vertical="center"/>
      <protection hidden="1"/>
    </xf>
    <xf numFmtId="0" fontId="8" fillId="2" borderId="0" xfId="1" applyFont="1" applyFill="1" applyBorder="1" applyAlignment="1" applyProtection="1">
      <protection hidden="1"/>
    </xf>
    <xf numFmtId="0" fontId="9" fillId="4" borderId="41" xfId="0" applyFont="1" applyFill="1" applyBorder="1" applyAlignment="1" applyProtection="1">
      <alignment vertical="center" wrapText="1"/>
      <protection hidden="1"/>
    </xf>
    <xf numFmtId="2" fontId="8" fillId="13" borderId="36" xfId="0" applyNumberFormat="1" applyFont="1" applyFill="1" applyBorder="1" applyAlignment="1" applyProtection="1">
      <alignment horizontal="center" vertical="center"/>
      <protection hidden="1"/>
    </xf>
    <xf numFmtId="167" fontId="8" fillId="2" borderId="0" xfId="1" applyNumberFormat="1" applyFont="1" applyFill="1" applyBorder="1" applyProtection="1">
      <protection hidden="1"/>
    </xf>
    <xf numFmtId="9" fontId="8" fillId="2" borderId="0" xfId="0" applyNumberFormat="1" applyFont="1" applyFill="1" applyBorder="1" applyAlignment="1" applyProtection="1">
      <alignment horizontal="center" vertical="center"/>
      <protection hidden="1"/>
    </xf>
    <xf numFmtId="0" fontId="8" fillId="5" borderId="29" xfId="1" applyFont="1" applyFill="1" applyBorder="1" applyAlignment="1" applyProtection="1">
      <alignment horizontal="center" vertical="center"/>
      <protection hidden="1"/>
    </xf>
    <xf numFmtId="0" fontId="8" fillId="5" borderId="17" xfId="1" applyFont="1" applyFill="1" applyBorder="1" applyAlignment="1" applyProtection="1">
      <alignment horizontal="center" vertical="center"/>
      <protection hidden="1"/>
    </xf>
    <xf numFmtId="0" fontId="7" fillId="3" borderId="19" xfId="0" applyFont="1" applyFill="1" applyBorder="1" applyAlignment="1" applyProtection="1">
      <alignment horizontal="center" vertical="center"/>
      <protection hidden="1"/>
    </xf>
    <xf numFmtId="166" fontId="8" fillId="2" borderId="5" xfId="0" applyNumberFormat="1" applyFont="1" applyFill="1" applyBorder="1" applyProtection="1">
      <protection hidden="1"/>
    </xf>
    <xf numFmtId="0" fontId="7" fillId="5" borderId="29" xfId="0" applyFont="1" applyFill="1" applyBorder="1" applyAlignment="1" applyProtection="1">
      <alignment horizontal="center" vertical="center"/>
      <protection hidden="1"/>
    </xf>
    <xf numFmtId="0" fontId="7" fillId="5" borderId="31" xfId="0" applyFont="1" applyFill="1" applyBorder="1" applyAlignment="1" applyProtection="1">
      <alignment horizontal="center" vertical="center" wrapText="1"/>
      <protection hidden="1"/>
    </xf>
    <xf numFmtId="0" fontId="7" fillId="5" borderId="41" xfId="0" applyFont="1" applyFill="1" applyBorder="1" applyAlignment="1" applyProtection="1">
      <alignment horizontal="center" vertical="center" wrapText="1"/>
      <protection hidden="1"/>
    </xf>
    <xf numFmtId="0" fontId="7" fillId="5" borderId="66" xfId="0" applyFont="1" applyFill="1" applyBorder="1" applyAlignment="1" applyProtection="1">
      <alignment horizontal="center" vertical="center" wrapText="1"/>
      <protection hidden="1"/>
    </xf>
    <xf numFmtId="166" fontId="8" fillId="12" borderId="4" xfId="0" applyNumberFormat="1" applyFont="1" applyFill="1" applyBorder="1" applyAlignment="1" applyProtection="1">
      <alignment horizontal="center" vertical="center"/>
      <protection hidden="1"/>
    </xf>
    <xf numFmtId="0" fontId="8" fillId="2" borderId="2" xfId="0" applyFont="1" applyFill="1" applyBorder="1" applyAlignment="1" applyProtection="1">
      <protection hidden="1"/>
    </xf>
    <xf numFmtId="0" fontId="8" fillId="2" borderId="3" xfId="0" applyFont="1" applyFill="1" applyBorder="1" applyAlignment="1" applyProtection="1">
      <protection hidden="1"/>
    </xf>
    <xf numFmtId="0" fontId="7" fillId="5" borderId="67" xfId="0" applyFont="1" applyFill="1" applyBorder="1" applyAlignment="1" applyProtection="1">
      <alignment horizontal="center" vertical="center"/>
      <protection hidden="1"/>
    </xf>
    <xf numFmtId="2" fontId="8" fillId="13" borderId="8" xfId="0" applyNumberFormat="1" applyFont="1" applyFill="1" applyBorder="1" applyAlignment="1" applyProtection="1">
      <alignment horizontal="center" vertical="center"/>
      <protection hidden="1"/>
    </xf>
    <xf numFmtId="0" fontId="8" fillId="2" borderId="45" xfId="0" applyFont="1" applyFill="1" applyBorder="1" applyAlignment="1" applyProtection="1">
      <protection hidden="1"/>
    </xf>
    <xf numFmtId="0" fontId="8" fillId="2" borderId="5" xfId="0" applyFont="1" applyFill="1" applyBorder="1" applyAlignment="1" applyProtection="1">
      <protection hidden="1"/>
    </xf>
    <xf numFmtId="0" fontId="7" fillId="2" borderId="0" xfId="0" applyFont="1" applyFill="1" applyBorder="1" applyAlignment="1" applyProtection="1">
      <alignment horizontal="center" vertical="center"/>
      <protection hidden="1"/>
    </xf>
    <xf numFmtId="166" fontId="8" fillId="2" borderId="0" xfId="0" applyNumberFormat="1" applyFont="1" applyFill="1" applyBorder="1" applyAlignment="1" applyProtection="1">
      <alignment horizontal="center" vertical="center"/>
      <protection hidden="1"/>
    </xf>
    <xf numFmtId="0" fontId="8" fillId="2" borderId="10" xfId="0" applyFont="1" applyFill="1" applyBorder="1" applyAlignment="1" applyProtection="1">
      <alignment vertical="center" wrapText="1"/>
      <protection hidden="1"/>
    </xf>
    <xf numFmtId="0" fontId="7" fillId="2" borderId="0" xfId="0" applyFont="1" applyFill="1" applyBorder="1" applyAlignment="1" applyProtection="1">
      <alignment vertical="center" wrapText="1"/>
      <protection hidden="1"/>
    </xf>
    <xf numFmtId="0" fontId="7" fillId="2" borderId="47" xfId="0" applyFont="1" applyFill="1" applyBorder="1" applyAlignment="1" applyProtection="1">
      <alignment horizontal="center" vertical="center" wrapText="1"/>
      <protection hidden="1"/>
    </xf>
    <xf numFmtId="0" fontId="8" fillId="2" borderId="10" xfId="0" applyFont="1" applyFill="1" applyBorder="1" applyAlignment="1" applyProtection="1">
      <alignment horizontal="left" vertical="center" wrapText="1"/>
      <protection hidden="1"/>
    </xf>
    <xf numFmtId="0" fontId="8" fillId="2" borderId="0" xfId="0" applyFont="1" applyFill="1" applyBorder="1" applyAlignment="1" applyProtection="1">
      <alignment horizontal="left" vertical="center" wrapText="1"/>
      <protection hidden="1"/>
    </xf>
    <xf numFmtId="0" fontId="8" fillId="0" borderId="10" xfId="0" applyFont="1" applyBorder="1" applyAlignment="1" applyProtection="1">
      <alignment vertical="center" wrapText="1"/>
      <protection hidden="1"/>
    </xf>
    <xf numFmtId="0" fontId="7" fillId="5" borderId="21" xfId="0" applyFont="1" applyFill="1" applyBorder="1" applyAlignment="1" applyProtection="1">
      <alignment horizontal="center" vertical="center" wrapText="1"/>
      <protection hidden="1"/>
    </xf>
    <xf numFmtId="0" fontId="7" fillId="5" borderId="19" xfId="0" applyFont="1" applyFill="1" applyBorder="1" applyAlignment="1" applyProtection="1">
      <alignment horizontal="center" vertical="center" wrapText="1"/>
      <protection hidden="1"/>
    </xf>
    <xf numFmtId="0" fontId="7" fillId="2" borderId="10" xfId="0" applyFont="1" applyFill="1" applyBorder="1" applyAlignment="1" applyProtection="1">
      <alignment horizontal="center" vertical="center" wrapText="1"/>
      <protection hidden="1"/>
    </xf>
    <xf numFmtId="0" fontId="8" fillId="0" borderId="39" xfId="0" applyFont="1" applyBorder="1" applyAlignment="1" applyProtection="1">
      <alignment vertical="center" wrapText="1"/>
      <protection hidden="1"/>
    </xf>
    <xf numFmtId="14" fontId="8" fillId="5" borderId="9" xfId="0" applyNumberFormat="1" applyFont="1" applyFill="1" applyBorder="1" applyAlignment="1" applyProtection="1">
      <alignment horizontal="center" vertical="center" wrapText="1"/>
      <protection hidden="1"/>
    </xf>
    <xf numFmtId="0" fontId="8" fillId="5" borderId="9" xfId="0" applyFont="1" applyFill="1" applyBorder="1" applyAlignment="1" applyProtection="1">
      <alignment horizontal="center" vertical="center" wrapText="1"/>
      <protection hidden="1"/>
    </xf>
    <xf numFmtId="167" fontId="8" fillId="5" borderId="9" xfId="0" applyNumberFormat="1" applyFont="1" applyFill="1" applyBorder="1" applyAlignment="1" applyProtection="1">
      <alignment horizontal="center" vertical="center" wrapText="1"/>
      <protection hidden="1"/>
    </xf>
    <xf numFmtId="166" fontId="8" fillId="5" borderId="9" xfId="0" applyNumberFormat="1" applyFont="1" applyFill="1" applyBorder="1" applyAlignment="1" applyProtection="1">
      <alignment horizontal="center" vertical="center" wrapText="1"/>
      <protection hidden="1"/>
    </xf>
    <xf numFmtId="165" fontId="8" fillId="5" borderId="9" xfId="0" applyNumberFormat="1" applyFont="1" applyFill="1" applyBorder="1" applyAlignment="1" applyProtection="1">
      <alignment horizontal="center" vertical="center" wrapText="1"/>
      <protection hidden="1"/>
    </xf>
    <xf numFmtId="0" fontId="8" fillId="5" borderId="33" xfId="0" applyFont="1" applyFill="1" applyBorder="1" applyAlignment="1" applyProtection="1">
      <alignment horizontal="center" vertical="center" wrapText="1"/>
      <protection hidden="1"/>
    </xf>
    <xf numFmtId="2" fontId="8" fillId="5" borderId="9" xfId="0" applyNumberFormat="1" applyFont="1" applyFill="1" applyBorder="1" applyAlignment="1" applyProtection="1">
      <alignment horizontal="center" vertical="center" wrapText="1"/>
      <protection hidden="1"/>
    </xf>
    <xf numFmtId="168" fontId="8" fillId="5" borderId="9" xfId="0" applyNumberFormat="1" applyFont="1" applyFill="1" applyBorder="1" applyAlignment="1" applyProtection="1">
      <alignment horizontal="center" vertical="center" wrapText="1"/>
      <protection hidden="1"/>
    </xf>
    <xf numFmtId="0" fontId="7" fillId="2" borderId="10" xfId="0" applyFont="1" applyFill="1" applyBorder="1" applyAlignment="1" applyProtection="1">
      <alignment horizontal="left" vertical="top" wrapText="1"/>
      <protection hidden="1"/>
    </xf>
    <xf numFmtId="0" fontId="7" fillId="2" borderId="0" xfId="0" applyFont="1" applyFill="1" applyBorder="1" applyAlignment="1" applyProtection="1">
      <alignment horizontal="left" vertical="top" wrapText="1"/>
      <protection hidden="1"/>
    </xf>
    <xf numFmtId="14" fontId="8" fillId="2" borderId="0" xfId="0" applyNumberFormat="1" applyFont="1" applyFill="1" applyBorder="1" applyAlignment="1" applyProtection="1">
      <alignment horizontal="center" vertical="center" wrapText="1"/>
      <protection hidden="1"/>
    </xf>
    <xf numFmtId="170" fontId="8" fillId="2" borderId="0" xfId="0" applyNumberFormat="1" applyFont="1" applyFill="1" applyBorder="1" applyAlignment="1" applyProtection="1">
      <alignment horizontal="center" vertical="center" wrapText="1"/>
      <protection hidden="1"/>
    </xf>
    <xf numFmtId="0" fontId="8" fillId="2" borderId="47" xfId="0" applyFont="1" applyFill="1" applyBorder="1" applyAlignment="1" applyProtection="1">
      <alignment horizontal="center" vertical="center" wrapText="1"/>
      <protection hidden="1"/>
    </xf>
    <xf numFmtId="0" fontId="7" fillId="5" borderId="55" xfId="0" applyFont="1" applyFill="1" applyBorder="1" applyAlignment="1" applyProtection="1">
      <alignment vertical="top" wrapText="1"/>
      <protection hidden="1"/>
    </xf>
    <xf numFmtId="0" fontId="8" fillId="5" borderId="42" xfId="0" applyFont="1" applyFill="1" applyBorder="1" applyAlignment="1" applyProtection="1">
      <alignment horizontal="center" vertical="center" wrapText="1"/>
      <protection hidden="1"/>
    </xf>
    <xf numFmtId="14" fontId="8" fillId="5" borderId="42" xfId="0" applyNumberFormat="1" applyFont="1" applyFill="1" applyBorder="1" applyAlignment="1" applyProtection="1">
      <alignment horizontal="center" vertical="center" wrapText="1"/>
      <protection hidden="1"/>
    </xf>
    <xf numFmtId="165" fontId="8" fillId="5" borderId="42" xfId="0" applyNumberFormat="1" applyFont="1" applyFill="1" applyBorder="1" applyAlignment="1" applyProtection="1">
      <alignment horizontal="center" vertical="center" wrapText="1"/>
      <protection hidden="1"/>
    </xf>
    <xf numFmtId="1" fontId="8" fillId="5" borderId="42" xfId="0" applyNumberFormat="1" applyFont="1" applyFill="1" applyBorder="1" applyAlignment="1" applyProtection="1">
      <alignment horizontal="center" vertical="center" wrapText="1"/>
      <protection hidden="1"/>
    </xf>
    <xf numFmtId="168" fontId="8" fillId="5" borderId="42" xfId="0" applyNumberFormat="1" applyFont="1" applyFill="1" applyBorder="1" applyAlignment="1" applyProtection="1">
      <alignment horizontal="center" vertical="center" wrapText="1"/>
      <protection hidden="1"/>
    </xf>
    <xf numFmtId="0" fontId="8" fillId="5" borderId="36" xfId="0" applyFont="1" applyFill="1" applyBorder="1" applyAlignment="1" applyProtection="1">
      <alignment horizontal="center" vertical="center" wrapText="1"/>
      <protection hidden="1"/>
    </xf>
    <xf numFmtId="166" fontId="8" fillId="2" borderId="0" xfId="1" applyNumberFormat="1" applyFont="1" applyFill="1" applyBorder="1" applyAlignment="1" applyProtection="1">
      <alignment horizontal="center" vertical="center"/>
      <protection hidden="1"/>
    </xf>
    <xf numFmtId="14" fontId="8" fillId="5" borderId="17" xfId="0" applyNumberFormat="1" applyFont="1" applyFill="1" applyBorder="1" applyAlignment="1" applyProtection="1">
      <alignment horizontal="center" vertical="center" wrapText="1"/>
      <protection hidden="1"/>
    </xf>
    <xf numFmtId="165" fontId="8" fillId="2" borderId="0" xfId="1" applyNumberFormat="1" applyFont="1" applyFill="1" applyBorder="1" applyAlignment="1" applyProtection="1">
      <alignment horizontal="center" vertical="center"/>
      <protection hidden="1"/>
    </xf>
    <xf numFmtId="0" fontId="7" fillId="2" borderId="1" xfId="0" applyFont="1" applyFill="1" applyBorder="1" applyAlignment="1" applyProtection="1">
      <alignment vertical="center" wrapText="1"/>
      <protection hidden="1"/>
    </xf>
    <xf numFmtId="166" fontId="8" fillId="2" borderId="4" xfId="0" applyNumberFormat="1" applyFont="1" applyFill="1" applyBorder="1" applyAlignment="1" applyProtection="1">
      <alignment horizontal="center" vertical="center"/>
      <protection hidden="1"/>
    </xf>
    <xf numFmtId="2" fontId="8" fillId="2" borderId="0" xfId="0" applyNumberFormat="1" applyFont="1" applyFill="1" applyBorder="1" applyProtection="1">
      <protection hidden="1"/>
    </xf>
    <xf numFmtId="0" fontId="8" fillId="11" borderId="14" xfId="0" applyFont="1" applyFill="1" applyBorder="1" applyAlignment="1" applyProtection="1">
      <alignment horizontal="center" vertical="center"/>
      <protection locked="0" hidden="1"/>
    </xf>
    <xf numFmtId="0" fontId="8" fillId="11" borderId="55" xfId="0" applyFont="1" applyFill="1" applyBorder="1" applyAlignment="1" applyProtection="1">
      <alignment horizontal="center" vertical="center"/>
      <protection locked="0" hidden="1"/>
    </xf>
    <xf numFmtId="0" fontId="8" fillId="11" borderId="9" xfId="1" applyFont="1" applyFill="1" applyBorder="1" applyAlignment="1" applyProtection="1">
      <alignment horizontal="center" vertical="center"/>
      <protection locked="0" hidden="1"/>
    </xf>
    <xf numFmtId="0" fontId="8" fillId="11" borderId="42" xfId="1" applyFont="1" applyFill="1" applyBorder="1" applyAlignment="1" applyProtection="1">
      <alignment horizontal="center" vertical="center"/>
      <protection locked="0" hidden="1"/>
    </xf>
    <xf numFmtId="2" fontId="12" fillId="24" borderId="1" xfId="6" applyNumberFormat="1" applyBorder="1" applyAlignment="1" applyProtection="1">
      <alignment horizontal="center" vertical="center"/>
      <protection locked="0" hidden="1"/>
    </xf>
    <xf numFmtId="0" fontId="33" fillId="25" borderId="1" xfId="0" applyFont="1" applyFill="1" applyBorder="1" applyAlignment="1" applyProtection="1">
      <alignment horizontal="center" vertical="center"/>
      <protection hidden="1"/>
    </xf>
    <xf numFmtId="0" fontId="8" fillId="5" borderId="38" xfId="0" applyFont="1" applyFill="1" applyBorder="1" applyAlignment="1" applyProtection="1">
      <alignment horizontal="center" vertical="center" wrapText="1"/>
      <protection hidden="1"/>
    </xf>
    <xf numFmtId="0" fontId="8" fillId="5" borderId="39" xfId="0" applyFont="1" applyFill="1" applyBorder="1" applyAlignment="1" applyProtection="1">
      <alignment horizontal="center" vertical="center" wrapText="1"/>
      <protection hidden="1"/>
    </xf>
    <xf numFmtId="0" fontId="8" fillId="5" borderId="31" xfId="0" applyFont="1" applyFill="1" applyBorder="1" applyAlignment="1" applyProtection="1">
      <alignment horizontal="center" vertical="center" wrapText="1"/>
      <protection hidden="1"/>
    </xf>
    <xf numFmtId="0" fontId="8" fillId="5" borderId="41" xfId="0" applyFont="1" applyFill="1" applyBorder="1" applyAlignment="1" applyProtection="1">
      <alignment horizontal="center" vertical="center"/>
      <protection hidden="1"/>
    </xf>
    <xf numFmtId="166" fontId="8" fillId="7" borderId="42" xfId="0" applyNumberFormat="1" applyFont="1" applyFill="1" applyBorder="1" applyAlignment="1" applyProtection="1">
      <alignment horizontal="center" vertical="center"/>
      <protection hidden="1"/>
    </xf>
    <xf numFmtId="166" fontId="8" fillId="7" borderId="9" xfId="0" applyNumberFormat="1" applyFont="1" applyFill="1" applyBorder="1" applyAlignment="1" applyProtection="1">
      <alignment horizontal="center" vertical="center" wrapText="1"/>
      <protection hidden="1"/>
    </xf>
    <xf numFmtId="0" fontId="8" fillId="5" borderId="26" xfId="1" applyFont="1" applyFill="1" applyBorder="1" applyAlignment="1" applyProtection="1">
      <alignment horizontal="center" wrapText="1"/>
      <protection hidden="1"/>
    </xf>
    <xf numFmtId="166" fontId="8" fillId="12" borderId="11" xfId="0" applyNumberFormat="1" applyFont="1" applyFill="1" applyBorder="1" applyAlignment="1" applyProtection="1">
      <alignment horizontal="center" vertical="center"/>
      <protection hidden="1"/>
    </xf>
    <xf numFmtId="166" fontId="8" fillId="12" borderId="53" xfId="0" applyNumberFormat="1" applyFont="1" applyFill="1" applyBorder="1" applyAlignment="1" applyProtection="1">
      <alignment horizontal="center" vertical="center"/>
      <protection hidden="1"/>
    </xf>
    <xf numFmtId="11" fontId="8" fillId="7" borderId="11" xfId="0" applyNumberFormat="1" applyFont="1" applyFill="1" applyBorder="1" applyAlignment="1" applyProtection="1">
      <alignment horizontal="center" vertical="center" wrapText="1"/>
      <protection hidden="1"/>
    </xf>
    <xf numFmtId="166" fontId="8" fillId="7" borderId="53" xfId="0" applyNumberFormat="1" applyFont="1" applyFill="1" applyBorder="1" applyAlignment="1" applyProtection="1">
      <alignment horizontal="center" vertical="center"/>
      <protection hidden="1"/>
    </xf>
    <xf numFmtId="2" fontId="8" fillId="11" borderId="42" xfId="1" applyNumberFormat="1" applyFont="1" applyFill="1" applyBorder="1" applyAlignment="1" applyProtection="1">
      <alignment horizontal="center" vertical="center"/>
      <protection locked="0" hidden="1"/>
    </xf>
    <xf numFmtId="0" fontId="8" fillId="2" borderId="0" xfId="0" applyFont="1" applyFill="1" applyBorder="1" applyAlignment="1" applyProtection="1">
      <alignment horizontal="center"/>
      <protection hidden="1"/>
    </xf>
    <xf numFmtId="0" fontId="7" fillId="5" borderId="9" xfId="0" applyFont="1" applyFill="1" applyBorder="1" applyAlignment="1" applyProtection="1">
      <alignment horizontal="center" vertical="center" wrapText="1"/>
      <protection hidden="1"/>
    </xf>
    <xf numFmtId="0" fontId="7" fillId="5" borderId="40" xfId="0" applyFont="1" applyFill="1" applyBorder="1" applyAlignment="1" applyProtection="1">
      <alignment horizontal="center" vertical="center"/>
      <protection hidden="1"/>
    </xf>
    <xf numFmtId="0" fontId="8" fillId="3" borderId="31" xfId="0" applyFont="1" applyFill="1" applyBorder="1" applyAlignment="1" applyProtection="1">
      <alignment horizontal="center" vertical="center"/>
      <protection hidden="1"/>
    </xf>
    <xf numFmtId="0" fontId="7" fillId="5" borderId="33" xfId="0" applyFont="1" applyFill="1" applyBorder="1" applyAlignment="1" applyProtection="1">
      <alignment horizontal="center" vertical="center" wrapText="1"/>
      <protection hidden="1"/>
    </xf>
    <xf numFmtId="0" fontId="8" fillId="3" borderId="41" xfId="0" applyFont="1" applyFill="1" applyBorder="1" applyAlignment="1" applyProtection="1">
      <alignment horizontal="center" vertical="center"/>
      <protection hidden="1"/>
    </xf>
    <xf numFmtId="0" fontId="7" fillId="5" borderId="42" xfId="0" applyFont="1" applyFill="1" applyBorder="1" applyAlignment="1" applyProtection="1">
      <alignment horizontal="center" vertical="center" wrapText="1"/>
      <protection hidden="1"/>
    </xf>
    <xf numFmtId="0" fontId="7" fillId="5" borderId="36" xfId="0" applyFont="1" applyFill="1" applyBorder="1" applyAlignment="1" applyProtection="1">
      <alignment horizontal="center" vertical="center" wrapText="1"/>
      <protection hidden="1"/>
    </xf>
    <xf numFmtId="0" fontId="7" fillId="5" borderId="29" xfId="0" applyFont="1" applyFill="1" applyBorder="1" applyAlignment="1" applyProtection="1">
      <alignment horizontal="center" vertical="center" wrapText="1"/>
      <protection hidden="1"/>
    </xf>
    <xf numFmtId="0" fontId="8" fillId="3" borderId="29" xfId="0" applyFont="1" applyFill="1" applyBorder="1" applyAlignment="1" applyProtection="1">
      <alignment horizontal="center" vertical="center"/>
      <protection hidden="1"/>
    </xf>
    <xf numFmtId="2" fontId="8" fillId="12" borderId="17" xfId="0" applyNumberFormat="1" applyFont="1" applyFill="1" applyBorder="1" applyAlignment="1" applyProtection="1">
      <alignment horizontal="center" vertical="center"/>
      <protection hidden="1"/>
    </xf>
    <xf numFmtId="0" fontId="10" fillId="5" borderId="19" xfId="0" applyFont="1" applyFill="1" applyBorder="1" applyAlignment="1" applyProtection="1">
      <alignment horizontal="center" vertical="center" wrapText="1"/>
      <protection hidden="1"/>
    </xf>
    <xf numFmtId="0" fontId="7" fillId="5" borderId="21" xfId="0" applyFont="1" applyFill="1" applyBorder="1" applyAlignment="1" applyProtection="1">
      <alignment horizontal="center" vertical="center"/>
      <protection hidden="1"/>
    </xf>
    <xf numFmtId="0" fontId="7" fillId="4" borderId="38" xfId="0" applyFont="1" applyFill="1" applyBorder="1" applyAlignment="1" applyProtection="1">
      <alignment horizontal="center" vertical="center" wrapText="1"/>
      <protection hidden="1"/>
    </xf>
    <xf numFmtId="165" fontId="8" fillId="12" borderId="40" xfId="0" applyNumberFormat="1" applyFont="1" applyFill="1" applyBorder="1" applyAlignment="1" applyProtection="1">
      <alignment horizontal="center" vertical="center"/>
      <protection hidden="1"/>
    </xf>
    <xf numFmtId="0" fontId="7" fillId="4" borderId="31" xfId="0" applyFont="1" applyFill="1" applyBorder="1" applyAlignment="1" applyProtection="1">
      <alignment horizontal="center" vertical="center" wrapText="1"/>
      <protection hidden="1"/>
    </xf>
    <xf numFmtId="2" fontId="8" fillId="13" borderId="33" xfId="0" applyNumberFormat="1" applyFont="1" applyFill="1" applyBorder="1" applyAlignment="1" applyProtection="1">
      <alignment horizontal="center" vertical="center"/>
      <protection hidden="1"/>
    </xf>
    <xf numFmtId="0" fontId="7" fillId="4" borderId="41" xfId="0" applyFont="1" applyFill="1" applyBorder="1" applyAlignment="1" applyProtection="1">
      <alignment horizontal="center" vertical="center" wrapText="1"/>
      <protection hidden="1"/>
    </xf>
    <xf numFmtId="2" fontId="8" fillId="2" borderId="0" xfId="0" applyNumberFormat="1" applyFont="1" applyFill="1" applyProtection="1">
      <protection hidden="1"/>
    </xf>
    <xf numFmtId="2" fontId="18" fillId="15" borderId="21" xfId="0" applyNumberFormat="1" applyFont="1" applyFill="1" applyBorder="1" applyAlignment="1" applyProtection="1">
      <alignment horizontal="center" vertical="center" wrapText="1"/>
      <protection hidden="1"/>
    </xf>
    <xf numFmtId="0" fontId="7" fillId="5" borderId="17" xfId="0" applyFont="1" applyFill="1" applyBorder="1" applyAlignment="1" applyProtection="1">
      <alignment horizontal="center" vertical="center" wrapText="1"/>
      <protection hidden="1"/>
    </xf>
    <xf numFmtId="166" fontId="8" fillId="7" borderId="17" xfId="0" applyNumberFormat="1" applyFont="1" applyFill="1" applyBorder="1" applyAlignment="1" applyProtection="1">
      <alignment horizontal="center" vertical="center" wrapText="1"/>
      <protection hidden="1"/>
    </xf>
    <xf numFmtId="166" fontId="34" fillId="7" borderId="26" xfId="0" applyNumberFormat="1" applyFont="1" applyFill="1" applyBorder="1" applyAlignment="1" applyProtection="1">
      <alignment horizontal="center" vertical="center" wrapText="1"/>
      <protection hidden="1"/>
    </xf>
    <xf numFmtId="166" fontId="8" fillId="7" borderId="11" xfId="0" applyNumberFormat="1" applyFont="1" applyFill="1" applyBorder="1" applyAlignment="1" applyProtection="1">
      <alignment horizontal="center" vertical="center"/>
      <protection hidden="1"/>
    </xf>
    <xf numFmtId="166" fontId="8" fillId="7" borderId="42" xfId="0" applyNumberFormat="1" applyFont="1" applyFill="1" applyBorder="1" applyAlignment="1" applyProtection="1">
      <alignment horizontal="center" vertical="center" wrapText="1"/>
      <protection hidden="1"/>
    </xf>
    <xf numFmtId="166" fontId="8" fillId="7" borderId="36" xfId="0" applyNumberFormat="1" applyFont="1" applyFill="1" applyBorder="1" applyAlignment="1" applyProtection="1">
      <alignment horizontal="center" vertical="center"/>
      <protection hidden="1"/>
    </xf>
    <xf numFmtId="0" fontId="7" fillId="5" borderId="18" xfId="0" applyFont="1" applyFill="1" applyBorder="1" applyAlignment="1" applyProtection="1">
      <alignment horizontal="center" vertical="center" wrapText="1"/>
      <protection hidden="1"/>
    </xf>
    <xf numFmtId="0" fontId="7" fillId="5" borderId="27" xfId="0" applyFont="1" applyFill="1" applyBorder="1" applyAlignment="1" applyProtection="1">
      <alignment horizontal="center" vertical="center" wrapText="1"/>
      <protection hidden="1"/>
    </xf>
    <xf numFmtId="0" fontId="8" fillId="2" borderId="0" xfId="0" applyFont="1" applyFill="1" applyBorder="1" applyAlignment="1" applyProtection="1">
      <alignment horizontal="center" vertical="center" wrapText="1"/>
      <protection hidden="1"/>
    </xf>
    <xf numFmtId="0" fontId="7" fillId="5" borderId="20" xfId="0" applyFont="1" applyFill="1" applyBorder="1" applyAlignment="1" applyProtection="1">
      <alignment horizontal="center" vertical="center" wrapText="1"/>
      <protection hidden="1"/>
    </xf>
    <xf numFmtId="0" fontId="8" fillId="2" borderId="0" xfId="0" applyFont="1" applyFill="1" applyBorder="1" applyAlignment="1" applyProtection="1">
      <alignment vertical="center" wrapText="1"/>
      <protection locked="0" hidden="1"/>
    </xf>
    <xf numFmtId="1" fontId="18" fillId="6" borderId="27" xfId="0" applyNumberFormat="1" applyFont="1" applyFill="1" applyBorder="1" applyAlignment="1" applyProtection="1">
      <alignment horizontal="center" vertical="center" wrapText="1"/>
      <protection locked="0" hidden="1"/>
    </xf>
    <xf numFmtId="0" fontId="8" fillId="2" borderId="6" xfId="0" applyFont="1" applyFill="1" applyBorder="1" applyAlignment="1" applyProtection="1">
      <alignment horizontal="center" vertical="center" wrapText="1"/>
      <protection hidden="1"/>
    </xf>
    <xf numFmtId="0" fontId="8" fillId="2" borderId="7" xfId="0" applyFont="1" applyFill="1" applyBorder="1" applyAlignment="1" applyProtection="1">
      <alignment horizontal="center" vertical="center" wrapText="1"/>
      <protection hidden="1"/>
    </xf>
    <xf numFmtId="14" fontId="8" fillId="5" borderId="39" xfId="0" applyNumberFormat="1" applyFont="1" applyFill="1" applyBorder="1" applyAlignment="1" applyProtection="1">
      <alignment horizontal="center" vertical="center" wrapText="1"/>
      <protection hidden="1"/>
    </xf>
    <xf numFmtId="0" fontId="7" fillId="5" borderId="62" xfId="0" applyFont="1" applyFill="1" applyBorder="1" applyAlignment="1" applyProtection="1">
      <alignment vertical="top" wrapText="1"/>
      <protection hidden="1"/>
    </xf>
    <xf numFmtId="0" fontId="8" fillId="5" borderId="51" xfId="0" applyFont="1" applyFill="1" applyBorder="1" applyAlignment="1" applyProtection="1">
      <alignment horizontal="center" vertical="center" wrapText="1"/>
      <protection hidden="1"/>
    </xf>
    <xf numFmtId="14" fontId="8" fillId="5" borderId="51" xfId="0" applyNumberFormat="1" applyFont="1" applyFill="1" applyBorder="1" applyAlignment="1" applyProtection="1">
      <alignment horizontal="center" vertical="center" wrapText="1"/>
      <protection hidden="1"/>
    </xf>
    <xf numFmtId="165" fontId="8" fillId="5" borderId="51" xfId="0" applyNumberFormat="1" applyFont="1" applyFill="1" applyBorder="1" applyAlignment="1" applyProtection="1">
      <alignment horizontal="center" vertical="center" wrapText="1"/>
      <protection hidden="1"/>
    </xf>
    <xf numFmtId="1" fontId="8" fillId="5" borderId="51" xfId="0" applyNumberFormat="1" applyFont="1" applyFill="1" applyBorder="1" applyAlignment="1" applyProtection="1">
      <alignment horizontal="center" vertical="center" wrapText="1"/>
      <protection hidden="1"/>
    </xf>
    <xf numFmtId="168" fontId="8" fillId="5" borderId="51" xfId="0" applyNumberFormat="1" applyFont="1" applyFill="1" applyBorder="1" applyAlignment="1" applyProtection="1">
      <alignment horizontal="center" vertical="center" wrapText="1"/>
      <protection hidden="1"/>
    </xf>
    <xf numFmtId="0" fontId="8" fillId="5" borderId="76" xfId="0" applyFont="1" applyFill="1" applyBorder="1" applyAlignment="1" applyProtection="1">
      <alignment horizontal="center" vertical="center" wrapText="1"/>
      <protection hidden="1"/>
    </xf>
    <xf numFmtId="165" fontId="8" fillId="5" borderId="39" xfId="0" applyNumberFormat="1" applyFont="1" applyFill="1" applyBorder="1" applyAlignment="1" applyProtection="1">
      <alignment horizontal="center" vertical="center" wrapText="1"/>
      <protection hidden="1"/>
    </xf>
    <xf numFmtId="164" fontId="8" fillId="5" borderId="39" xfId="0" applyNumberFormat="1" applyFont="1" applyFill="1" applyBorder="1" applyAlignment="1" applyProtection="1">
      <alignment horizontal="center" vertical="center" wrapText="1"/>
      <protection hidden="1"/>
    </xf>
    <xf numFmtId="168" fontId="8" fillId="5" borderId="39" xfId="0" applyNumberFormat="1" applyFont="1" applyFill="1" applyBorder="1" applyAlignment="1" applyProtection="1">
      <alignment horizontal="center" vertical="center" wrapText="1"/>
      <protection hidden="1"/>
    </xf>
    <xf numFmtId="0" fontId="8" fillId="5" borderId="40" xfId="0" applyFont="1" applyFill="1" applyBorder="1" applyAlignment="1" applyProtection="1">
      <alignment horizontal="center" vertical="center" wrapText="1"/>
      <protection hidden="1"/>
    </xf>
    <xf numFmtId="2" fontId="8" fillId="2" borderId="18" xfId="0" applyNumberFormat="1" applyFont="1" applyFill="1" applyBorder="1" applyAlignment="1" applyProtection="1">
      <alignment horizontal="center" vertical="center"/>
      <protection hidden="1"/>
    </xf>
    <xf numFmtId="2" fontId="8" fillId="2" borderId="19" xfId="0" applyNumberFormat="1" applyFont="1" applyFill="1" applyBorder="1" applyAlignment="1" applyProtection="1">
      <alignment horizontal="center" vertical="center"/>
      <protection hidden="1"/>
    </xf>
    <xf numFmtId="0" fontId="8" fillId="2" borderId="68" xfId="0" applyFont="1" applyFill="1" applyBorder="1" applyAlignment="1" applyProtection="1">
      <alignment vertical="center" wrapText="1"/>
      <protection hidden="1"/>
    </xf>
    <xf numFmtId="14" fontId="8" fillId="5" borderId="15" xfId="0" applyNumberFormat="1" applyFont="1" applyFill="1" applyBorder="1" applyAlignment="1" applyProtection="1">
      <alignment horizontal="center" vertical="center" wrapText="1"/>
      <protection hidden="1"/>
    </xf>
    <xf numFmtId="0" fontId="8" fillId="7" borderId="10" xfId="0" applyFont="1" applyFill="1" applyBorder="1" applyAlignment="1" applyProtection="1">
      <alignment horizontal="center" vertical="center" wrapText="1"/>
      <protection hidden="1"/>
    </xf>
    <xf numFmtId="166" fontId="8" fillId="2" borderId="10" xfId="0" applyNumberFormat="1" applyFont="1" applyFill="1" applyBorder="1" applyAlignment="1" applyProtection="1">
      <alignment horizontal="center" vertical="center"/>
      <protection hidden="1"/>
    </xf>
    <xf numFmtId="2" fontId="7" fillId="7" borderId="1" xfId="0" applyNumberFormat="1" applyFont="1" applyFill="1" applyBorder="1" applyAlignment="1" applyProtection="1">
      <alignment horizontal="center" vertical="center" wrapText="1"/>
      <protection hidden="1"/>
    </xf>
    <xf numFmtId="14" fontId="8" fillId="5" borderId="19" xfId="0" applyNumberFormat="1" applyFont="1" applyFill="1" applyBorder="1" applyAlignment="1" applyProtection="1">
      <alignment horizontal="center" vertical="center" wrapText="1"/>
      <protection hidden="1"/>
    </xf>
    <xf numFmtId="0" fontId="8" fillId="5" borderId="18" xfId="0" applyFont="1" applyFill="1" applyBorder="1" applyAlignment="1" applyProtection="1">
      <alignment horizontal="center" vertical="center" wrapText="1"/>
      <protection hidden="1"/>
    </xf>
    <xf numFmtId="0" fontId="8" fillId="5" borderId="21" xfId="0" applyFont="1" applyFill="1" applyBorder="1" applyAlignment="1" applyProtection="1">
      <alignment horizontal="center" vertical="center" wrapText="1"/>
      <protection hidden="1"/>
    </xf>
    <xf numFmtId="0" fontId="8" fillId="5" borderId="20" xfId="0" applyFont="1" applyFill="1" applyBorder="1" applyAlignment="1" applyProtection="1">
      <alignment horizontal="center" vertical="center" wrapText="1"/>
      <protection hidden="1"/>
    </xf>
    <xf numFmtId="0" fontId="8" fillId="5" borderId="8" xfId="0" applyFont="1" applyFill="1" applyBorder="1" applyAlignment="1" applyProtection="1">
      <alignment horizontal="center" vertical="center" wrapText="1"/>
      <protection hidden="1"/>
    </xf>
    <xf numFmtId="165" fontId="8" fillId="7" borderId="39" xfId="0" applyNumberFormat="1" applyFont="1" applyFill="1" applyBorder="1" applyAlignment="1" applyProtection="1">
      <alignment horizontal="center" vertical="center" wrapText="1"/>
      <protection hidden="1"/>
    </xf>
    <xf numFmtId="165" fontId="8" fillId="7" borderId="30" xfId="0" applyNumberFormat="1" applyFont="1" applyFill="1" applyBorder="1" applyAlignment="1" applyProtection="1">
      <alignment horizontal="center" vertical="center" wrapText="1"/>
      <protection hidden="1"/>
    </xf>
    <xf numFmtId="2" fontId="8" fillId="5" borderId="66" xfId="0" applyNumberFormat="1" applyFont="1" applyFill="1" applyBorder="1" applyAlignment="1" applyProtection="1">
      <alignment horizontal="center" vertical="center" wrapText="1"/>
      <protection hidden="1"/>
    </xf>
    <xf numFmtId="166" fontId="8" fillId="5" borderId="64" xfId="0" applyNumberFormat="1" applyFont="1" applyFill="1" applyBorder="1" applyAlignment="1" applyProtection="1">
      <alignment horizontal="center" vertical="center" wrapText="1"/>
      <protection hidden="1"/>
    </xf>
    <xf numFmtId="166" fontId="8" fillId="5" borderId="67" xfId="0" applyNumberFormat="1" applyFont="1" applyFill="1" applyBorder="1" applyAlignment="1" applyProtection="1">
      <alignment horizontal="center" vertical="center"/>
      <protection hidden="1"/>
    </xf>
    <xf numFmtId="0" fontId="8" fillId="2" borderId="6" xfId="0" applyFont="1" applyFill="1" applyBorder="1" applyAlignment="1" applyProtection="1">
      <alignment vertical="center" wrapText="1"/>
      <protection hidden="1"/>
    </xf>
    <xf numFmtId="0" fontId="8" fillId="2" borderId="7" xfId="0" applyFont="1" applyFill="1" applyBorder="1" applyAlignment="1" applyProtection="1">
      <alignment vertical="center" wrapText="1"/>
      <protection hidden="1"/>
    </xf>
    <xf numFmtId="0" fontId="7" fillId="2" borderId="7" xfId="0" applyFont="1" applyFill="1" applyBorder="1" applyAlignment="1" applyProtection="1">
      <alignment vertical="center" wrapText="1"/>
      <protection hidden="1"/>
    </xf>
    <xf numFmtId="0" fontId="7" fillId="2" borderId="8" xfId="0" applyFont="1" applyFill="1" applyBorder="1" applyAlignment="1" applyProtection="1">
      <alignment horizontal="center" vertical="center" wrapText="1"/>
      <protection hidden="1"/>
    </xf>
    <xf numFmtId="164" fontId="8" fillId="2" borderId="68" xfId="0" applyNumberFormat="1" applyFont="1" applyFill="1" applyBorder="1" applyAlignment="1" applyProtection="1">
      <alignment vertical="center" wrapText="1"/>
      <protection hidden="1"/>
    </xf>
    <xf numFmtId="1" fontId="8" fillId="2" borderId="68" xfId="0" applyNumberFormat="1" applyFont="1" applyFill="1" applyBorder="1" applyAlignment="1" applyProtection="1">
      <alignment vertical="center" wrapText="1"/>
      <protection hidden="1"/>
    </xf>
    <xf numFmtId="0" fontId="8" fillId="2" borderId="68" xfId="0" applyNumberFormat="1" applyFont="1" applyFill="1" applyBorder="1" applyAlignment="1" applyProtection="1">
      <alignment horizontal="center" vertical="center" wrapText="1"/>
      <protection hidden="1"/>
    </xf>
    <xf numFmtId="168" fontId="7" fillId="2" borderId="68" xfId="0" applyNumberFormat="1" applyFont="1" applyFill="1" applyBorder="1" applyAlignment="1" applyProtection="1">
      <alignment vertical="center"/>
      <protection hidden="1"/>
    </xf>
    <xf numFmtId="168" fontId="8" fillId="2" borderId="68" xfId="0" applyNumberFormat="1" applyFont="1" applyFill="1" applyBorder="1" applyAlignment="1" applyProtection="1">
      <alignment vertical="center" wrapText="1"/>
      <protection hidden="1"/>
    </xf>
    <xf numFmtId="164" fontId="8" fillId="7" borderId="1" xfId="0" applyNumberFormat="1" applyFont="1" applyFill="1" applyBorder="1" applyAlignment="1" applyProtection="1">
      <alignment horizontal="center" vertical="center" wrapText="1"/>
      <protection hidden="1"/>
    </xf>
    <xf numFmtId="168" fontId="8" fillId="5" borderId="1" xfId="0" applyNumberFormat="1" applyFont="1" applyFill="1" applyBorder="1" applyAlignment="1" applyProtection="1">
      <alignment horizontal="center" vertical="center"/>
      <protection hidden="1"/>
    </xf>
    <xf numFmtId="0" fontId="8" fillId="5" borderId="6" xfId="0" applyFont="1" applyFill="1" applyBorder="1" applyAlignment="1" applyProtection="1">
      <alignment horizontal="left" vertical="center" wrapText="1"/>
      <protection hidden="1"/>
    </xf>
    <xf numFmtId="0" fontId="8" fillId="5" borderId="7" xfId="0" applyFont="1" applyFill="1" applyBorder="1" applyAlignment="1" applyProtection="1">
      <alignment horizontal="left" vertical="center" wrapText="1"/>
      <protection hidden="1"/>
    </xf>
    <xf numFmtId="0" fontId="8" fillId="5" borderId="7" xfId="0" applyFont="1" applyFill="1" applyBorder="1" applyAlignment="1" applyProtection="1">
      <alignment vertical="center" wrapText="1"/>
      <protection hidden="1"/>
    </xf>
    <xf numFmtId="0" fontId="8" fillId="5" borderId="8" xfId="0" applyFont="1" applyFill="1" applyBorder="1" applyAlignment="1" applyProtection="1">
      <alignment vertical="center" wrapText="1"/>
      <protection hidden="1"/>
    </xf>
    <xf numFmtId="14" fontId="8" fillId="5" borderId="30" xfId="0" applyNumberFormat="1" applyFont="1" applyFill="1" applyBorder="1" applyAlignment="1" applyProtection="1">
      <alignment horizontal="center" vertical="center" wrapText="1"/>
      <protection hidden="1"/>
    </xf>
    <xf numFmtId="1" fontId="8" fillId="5" borderId="17" xfId="0" applyNumberFormat="1" applyFont="1" applyFill="1" applyBorder="1" applyAlignment="1" applyProtection="1">
      <alignment horizontal="center" vertical="center" wrapText="1"/>
      <protection hidden="1"/>
    </xf>
    <xf numFmtId="166" fontId="8" fillId="5" borderId="17" xfId="0" applyNumberFormat="1" applyFont="1" applyFill="1" applyBorder="1" applyAlignment="1" applyProtection="1">
      <alignment horizontal="center" vertical="center" wrapText="1"/>
      <protection hidden="1"/>
    </xf>
    <xf numFmtId="165" fontId="8" fillId="5" borderId="17" xfId="0" applyNumberFormat="1" applyFont="1" applyFill="1" applyBorder="1" applyAlignment="1" applyProtection="1">
      <alignment horizontal="center" vertical="center" wrapText="1"/>
      <protection hidden="1"/>
    </xf>
    <xf numFmtId="0" fontId="8" fillId="5" borderId="17" xfId="0" applyFont="1" applyFill="1" applyBorder="1" applyAlignment="1" applyProtection="1">
      <alignment horizontal="center" vertical="center" wrapText="1"/>
      <protection hidden="1"/>
    </xf>
    <xf numFmtId="0" fontId="8" fillId="5" borderId="35" xfId="0" applyFont="1" applyFill="1" applyBorder="1" applyAlignment="1" applyProtection="1">
      <alignment horizontal="center" vertical="center" wrapText="1"/>
      <protection hidden="1"/>
    </xf>
    <xf numFmtId="0" fontId="7" fillId="5" borderId="46" xfId="0" applyFont="1" applyFill="1" applyBorder="1" applyAlignment="1" applyProtection="1">
      <alignment vertical="top" wrapText="1"/>
      <protection hidden="1"/>
    </xf>
    <xf numFmtId="166" fontId="7" fillId="7" borderId="6" xfId="0" applyNumberFormat="1" applyFont="1" applyFill="1" applyBorder="1" applyAlignment="1" applyProtection="1">
      <alignment horizontal="center" vertical="center" wrapText="1"/>
      <protection hidden="1"/>
    </xf>
    <xf numFmtId="166" fontId="7" fillId="5" borderId="3" xfId="0" applyNumberFormat="1" applyFont="1" applyFill="1" applyBorder="1" applyAlignment="1" applyProtection="1">
      <alignment horizontal="center" vertical="center" wrapText="1"/>
      <protection hidden="1"/>
    </xf>
    <xf numFmtId="0" fontId="7" fillId="5" borderId="14" xfId="0" applyFont="1" applyFill="1" applyBorder="1" applyAlignment="1" applyProtection="1">
      <alignment horizontal="center" vertical="center" wrapText="1"/>
      <protection hidden="1"/>
    </xf>
    <xf numFmtId="165" fontId="7" fillId="5" borderId="14" xfId="0" applyNumberFormat="1" applyFont="1" applyFill="1" applyBorder="1" applyAlignment="1" applyProtection="1">
      <alignment horizontal="center" vertical="center" wrapText="1"/>
      <protection hidden="1"/>
    </xf>
    <xf numFmtId="168" fontId="8" fillId="5" borderId="17" xfId="0" applyNumberFormat="1" applyFont="1" applyFill="1" applyBorder="1" applyAlignment="1" applyProtection="1">
      <alignment horizontal="center" vertical="center" wrapText="1"/>
      <protection hidden="1"/>
    </xf>
    <xf numFmtId="168" fontId="8" fillId="2" borderId="0" xfId="0" applyNumberFormat="1" applyFont="1" applyFill="1" applyBorder="1" applyAlignment="1" applyProtection="1">
      <alignment horizontal="center" vertical="center" wrapText="1"/>
      <protection hidden="1"/>
    </xf>
    <xf numFmtId="168" fontId="8" fillId="5" borderId="10" xfId="0" applyNumberFormat="1" applyFont="1" applyFill="1" applyBorder="1" applyAlignment="1" applyProtection="1">
      <alignment horizontal="center" vertical="center" wrapText="1"/>
      <protection hidden="1"/>
    </xf>
    <xf numFmtId="49" fontId="8" fillId="31" borderId="1" xfId="0" applyNumberFormat="1" applyFont="1" applyFill="1" applyBorder="1" applyAlignment="1" applyProtection="1">
      <alignment horizontal="center" vertical="center"/>
      <protection locked="0" hidden="1"/>
    </xf>
    <xf numFmtId="167" fontId="23" fillId="0" borderId="1" xfId="0" applyNumberFormat="1" applyFont="1" applyFill="1" applyBorder="1" applyAlignment="1" applyProtection="1">
      <alignment horizontal="centerContinuous" vertical="center" wrapText="1"/>
      <protection hidden="1"/>
    </xf>
    <xf numFmtId="0" fontId="8" fillId="0" borderId="0" xfId="0" applyFont="1"/>
    <xf numFmtId="0" fontId="14" fillId="0" borderId="0" xfId="0" applyFont="1" applyFill="1" applyBorder="1" applyAlignment="1">
      <alignment horizontal="center" vertical="center"/>
    </xf>
    <xf numFmtId="0" fontId="36" fillId="0" borderId="0" xfId="0" applyFont="1" applyFill="1"/>
    <xf numFmtId="0" fontId="8" fillId="0" borderId="0" xfId="0" applyFont="1" applyAlignment="1">
      <alignment vertical="center"/>
    </xf>
    <xf numFmtId="22" fontId="8" fillId="0" borderId="0" xfId="0" applyNumberFormat="1" applyFont="1" applyAlignment="1">
      <alignment vertical="center" wrapText="1"/>
    </xf>
    <xf numFmtId="0" fontId="8" fillId="0" borderId="0" xfId="0" applyFont="1" applyAlignment="1">
      <alignment horizontal="center" vertical="center" wrapText="1"/>
    </xf>
    <xf numFmtId="0" fontId="8" fillId="0" borderId="0" xfId="0" applyFont="1" applyFill="1" applyBorder="1" applyAlignment="1">
      <alignment vertical="center"/>
    </xf>
    <xf numFmtId="0" fontId="8" fillId="0" borderId="0" xfId="0" applyFont="1" applyFill="1" applyBorder="1" applyAlignment="1">
      <alignment horizontal="center" vertical="center"/>
    </xf>
    <xf numFmtId="0" fontId="8" fillId="0" borderId="0" xfId="0" applyFont="1" applyFill="1" applyBorder="1" applyAlignment="1">
      <alignment horizontal="center" vertical="center" wrapText="1"/>
    </xf>
    <xf numFmtId="167" fontId="8" fillId="0" borderId="0" xfId="0" applyNumberFormat="1" applyFont="1" applyFill="1" applyBorder="1" applyAlignment="1">
      <alignment horizontal="center" vertical="center" wrapText="1"/>
    </xf>
    <xf numFmtId="0" fontId="7" fillId="0" borderId="0" xfId="0" applyFont="1" applyFill="1" applyBorder="1" applyAlignment="1">
      <alignment horizontal="center" vertical="center" wrapText="1"/>
    </xf>
    <xf numFmtId="167" fontId="7" fillId="0" borderId="0" xfId="0" applyNumberFormat="1" applyFont="1" applyFill="1" applyBorder="1" applyAlignment="1">
      <alignment horizontal="center" vertical="center" wrapText="1"/>
    </xf>
    <xf numFmtId="22" fontId="8" fillId="0" borderId="0" xfId="0" applyNumberFormat="1" applyFont="1" applyFill="1" applyBorder="1" applyAlignment="1">
      <alignment horizontal="center" vertical="center" wrapText="1"/>
    </xf>
    <xf numFmtId="2" fontId="12" fillId="24" borderId="1" xfId="6" applyNumberFormat="1" applyFont="1" applyBorder="1" applyAlignment="1" applyProtection="1">
      <alignment horizontal="center" vertical="center"/>
      <protection locked="0" hidden="1"/>
    </xf>
    <xf numFmtId="1" fontId="12" fillId="24" borderId="1" xfId="6" applyNumberFormat="1" applyFont="1" applyBorder="1" applyAlignment="1" applyProtection="1">
      <alignment horizontal="center" vertical="center"/>
      <protection locked="0" hidden="1"/>
    </xf>
    <xf numFmtId="0" fontId="8" fillId="0" borderId="0" xfId="0" applyFont="1" applyAlignment="1" applyProtection="1">
      <alignment vertical="center" wrapText="1"/>
      <protection locked="0" hidden="1"/>
    </xf>
    <xf numFmtId="0" fontId="8" fillId="0" borderId="0" xfId="0" applyFont="1" applyFill="1" applyBorder="1" applyAlignment="1" applyProtection="1">
      <alignment horizontal="center" vertical="center" wrapText="1"/>
      <protection hidden="1"/>
    </xf>
    <xf numFmtId="0" fontId="8" fillId="0" borderId="0" xfId="0" applyFont="1" applyFill="1" applyBorder="1" applyAlignment="1" applyProtection="1">
      <alignment vertical="center" wrapText="1"/>
      <protection hidden="1"/>
    </xf>
    <xf numFmtId="0" fontId="14" fillId="0" borderId="0" xfId="0" applyFont="1" applyFill="1" applyBorder="1" applyAlignment="1" applyProtection="1">
      <alignment horizontal="center" vertical="center" wrapText="1"/>
      <protection hidden="1"/>
    </xf>
    <xf numFmtId="0" fontId="8" fillId="0" borderId="0" xfId="0" applyFont="1" applyFill="1" applyAlignment="1" applyProtection="1">
      <alignment vertical="center" wrapText="1"/>
      <protection hidden="1"/>
    </xf>
    <xf numFmtId="2" fontId="15" fillId="16" borderId="18" xfId="1" applyNumberFormat="1" applyFont="1" applyFill="1" applyBorder="1" applyAlignment="1" applyProtection="1">
      <alignment horizontal="center" vertical="center"/>
      <protection hidden="1"/>
    </xf>
    <xf numFmtId="14" fontId="8" fillId="19" borderId="21" xfId="0" applyNumberFormat="1" applyFont="1" applyFill="1" applyBorder="1" applyAlignment="1" applyProtection="1">
      <alignment horizontal="center" vertical="center" wrapText="1"/>
      <protection hidden="1"/>
    </xf>
    <xf numFmtId="2" fontId="15" fillId="16" borderId="21" xfId="1" applyNumberFormat="1" applyFont="1" applyFill="1" applyBorder="1" applyAlignment="1" applyProtection="1">
      <alignment horizontal="center" vertical="center" wrapText="1"/>
      <protection hidden="1"/>
    </xf>
    <xf numFmtId="0" fontId="12" fillId="24" borderId="1" xfId="6" applyFont="1" applyBorder="1" applyAlignment="1" applyProtection="1">
      <alignment horizontal="center" vertical="center"/>
      <protection locked="0" hidden="1"/>
    </xf>
    <xf numFmtId="0" fontId="7" fillId="16" borderId="1" xfId="0" applyFont="1" applyFill="1" applyBorder="1" applyAlignment="1" applyProtection="1">
      <alignment horizontal="center" vertical="center" wrapText="1"/>
      <protection hidden="1"/>
    </xf>
    <xf numFmtId="0" fontId="7" fillId="16" borderId="21" xfId="0" applyFont="1" applyFill="1" applyBorder="1" applyAlignment="1" applyProtection="1">
      <alignment horizontal="center" vertical="center" wrapText="1"/>
      <protection hidden="1"/>
    </xf>
    <xf numFmtId="169" fontId="8" fillId="15" borderId="9" xfId="0" applyNumberFormat="1" applyFont="1" applyFill="1" applyBorder="1" applyAlignment="1" applyProtection="1">
      <alignment horizontal="center" vertical="center" wrapText="1"/>
      <protection hidden="1"/>
    </xf>
    <xf numFmtId="0" fontId="12" fillId="24" borderId="1" xfId="6" applyFont="1" applyBorder="1" applyAlignment="1" applyProtection="1">
      <alignment horizontal="center" vertical="center" wrapText="1"/>
      <protection locked="0" hidden="1"/>
    </xf>
    <xf numFmtId="1" fontId="8" fillId="15" borderId="14" xfId="0" applyNumberFormat="1" applyFont="1" applyFill="1" applyBorder="1" applyAlignment="1" applyProtection="1">
      <alignment vertical="center" wrapText="1"/>
      <protection hidden="1"/>
    </xf>
    <xf numFmtId="166" fontId="8" fillId="15" borderId="9" xfId="0" applyNumberFormat="1" applyFont="1" applyFill="1" applyBorder="1" applyAlignment="1" applyProtection="1">
      <alignment horizontal="center" vertical="center" wrapText="1"/>
      <protection hidden="1"/>
    </xf>
    <xf numFmtId="14" fontId="8" fillId="12" borderId="9" xfId="0" applyNumberFormat="1" applyFont="1" applyFill="1" applyBorder="1" applyAlignment="1" applyProtection="1">
      <alignment horizontal="center" vertical="center" wrapText="1"/>
      <protection hidden="1"/>
    </xf>
    <xf numFmtId="14" fontId="8" fillId="12" borderId="9" xfId="0" applyNumberFormat="1" applyFont="1" applyFill="1" applyBorder="1" applyAlignment="1" applyProtection="1">
      <alignment horizontal="center" vertical="center"/>
      <protection hidden="1"/>
    </xf>
    <xf numFmtId="1" fontId="8" fillId="15" borderId="9" xfId="0" applyNumberFormat="1" applyFont="1" applyFill="1" applyBorder="1" applyAlignment="1" applyProtection="1">
      <alignment horizontal="center" vertical="center" wrapText="1"/>
      <protection hidden="1"/>
    </xf>
    <xf numFmtId="0" fontId="12" fillId="24" borderId="69" xfId="6" applyFont="1" applyBorder="1" applyAlignment="1" applyProtection="1">
      <alignment horizontal="center" vertical="center" wrapText="1"/>
      <protection locked="0" hidden="1"/>
    </xf>
    <xf numFmtId="0" fontId="8" fillId="2" borderId="23" xfId="0" applyFont="1" applyFill="1" applyBorder="1" applyAlignment="1" applyProtection="1">
      <alignment horizontal="center" vertical="center" wrapText="1"/>
      <protection hidden="1"/>
    </xf>
    <xf numFmtId="0" fontId="8" fillId="2" borderId="47" xfId="0" applyFont="1" applyFill="1" applyBorder="1" applyAlignment="1" applyProtection="1">
      <alignment horizontal="center" vertical="center" wrapText="1"/>
      <protection locked="0" hidden="1"/>
    </xf>
    <xf numFmtId="0" fontId="12" fillId="24" borderId="68" xfId="6" applyFont="1" applyBorder="1" applyAlignment="1" applyProtection="1">
      <alignment horizontal="center" vertical="center" wrapText="1"/>
      <protection locked="0" hidden="1"/>
    </xf>
    <xf numFmtId="0" fontId="36" fillId="2" borderId="47" xfId="0" applyFont="1" applyFill="1" applyBorder="1" applyAlignment="1" applyProtection="1">
      <alignment horizontal="center" vertical="center" wrapText="1"/>
      <protection hidden="1"/>
    </xf>
    <xf numFmtId="0" fontId="12" fillId="24" borderId="48" xfId="6" applyFont="1" applyBorder="1" applyAlignment="1" applyProtection="1">
      <alignment horizontal="center" vertical="center" wrapText="1"/>
      <protection locked="0" hidden="1"/>
    </xf>
    <xf numFmtId="2" fontId="8" fillId="15" borderId="9" xfId="0" applyNumberFormat="1" applyFont="1" applyFill="1" applyBorder="1" applyAlignment="1" applyProtection="1">
      <alignment horizontal="center" vertical="center" wrapText="1"/>
      <protection hidden="1"/>
    </xf>
    <xf numFmtId="0" fontId="7" fillId="16" borderId="77" xfId="0" applyFont="1" applyFill="1" applyBorder="1" applyAlignment="1" applyProtection="1">
      <alignment horizontal="center" vertical="center" wrapText="1"/>
      <protection hidden="1"/>
    </xf>
    <xf numFmtId="1" fontId="8" fillId="15" borderId="14" xfId="0" applyNumberFormat="1" applyFont="1" applyFill="1" applyBorder="1" applyAlignment="1" applyProtection="1">
      <alignment horizontal="center" vertical="center" wrapText="1"/>
      <protection hidden="1"/>
    </xf>
    <xf numFmtId="14" fontId="8" fillId="12" borderId="11" xfId="0" applyNumberFormat="1" applyFont="1" applyFill="1" applyBorder="1" applyAlignment="1" applyProtection="1">
      <alignment horizontal="center" vertical="center" wrapText="1"/>
      <protection hidden="1"/>
    </xf>
    <xf numFmtId="0" fontId="8" fillId="7" borderId="18" xfId="0" applyFont="1" applyFill="1" applyBorder="1" applyAlignment="1" applyProtection="1">
      <alignment horizontal="center" vertical="center" wrapText="1"/>
      <protection hidden="1"/>
    </xf>
    <xf numFmtId="0" fontId="8" fillId="7" borderId="19" xfId="0" applyFont="1" applyFill="1" applyBorder="1" applyAlignment="1" applyProtection="1">
      <alignment horizontal="center" vertical="center" wrapText="1"/>
      <protection hidden="1"/>
    </xf>
    <xf numFmtId="0" fontId="12" fillId="24" borderId="8" xfId="6" applyFont="1" applyBorder="1" applyAlignment="1" applyProtection="1">
      <alignment horizontal="center" vertical="center" wrapText="1"/>
      <protection locked="0" hidden="1"/>
    </xf>
    <xf numFmtId="0" fontId="7" fillId="31" borderId="29" xfId="0" applyFont="1" applyFill="1" applyBorder="1" applyAlignment="1" applyProtection="1">
      <alignment horizontal="center" vertical="center" wrapText="1"/>
      <protection hidden="1"/>
    </xf>
    <xf numFmtId="0" fontId="7" fillId="31" borderId="35" xfId="0" applyFont="1" applyFill="1" applyBorder="1" applyAlignment="1" applyProtection="1">
      <alignment horizontal="center" vertical="center" wrapText="1"/>
      <protection hidden="1"/>
    </xf>
    <xf numFmtId="0" fontId="8" fillId="0" borderId="0" xfId="0" applyFont="1" applyBorder="1" applyAlignment="1" applyProtection="1">
      <alignment vertical="center" wrapText="1"/>
      <protection hidden="1"/>
    </xf>
    <xf numFmtId="0" fontId="7" fillId="16" borderId="72" xfId="0" applyFont="1" applyFill="1" applyBorder="1" applyAlignment="1" applyProtection="1">
      <alignment horizontal="center" vertical="center" wrapText="1"/>
      <protection hidden="1"/>
    </xf>
    <xf numFmtId="0" fontId="7" fillId="31" borderId="41" xfId="0" applyFont="1" applyFill="1" applyBorder="1" applyAlignment="1" applyProtection="1">
      <alignment horizontal="center" vertical="center" wrapText="1"/>
      <protection hidden="1"/>
    </xf>
    <xf numFmtId="2" fontId="7" fillId="31" borderId="36" xfId="0" applyNumberFormat="1" applyFont="1" applyFill="1" applyBorder="1" applyAlignment="1" applyProtection="1">
      <alignment horizontal="center" vertical="center" wrapText="1"/>
      <protection hidden="1"/>
    </xf>
    <xf numFmtId="0" fontId="7" fillId="16" borderId="64" xfId="0" applyFont="1" applyFill="1" applyBorder="1" applyAlignment="1" applyProtection="1">
      <alignment horizontal="center" vertical="center" wrapText="1"/>
      <protection hidden="1"/>
    </xf>
    <xf numFmtId="165" fontId="8" fillId="15" borderId="9" xfId="0" applyNumberFormat="1" applyFont="1" applyFill="1" applyBorder="1" applyAlignment="1" applyProtection="1">
      <alignment horizontal="center" vertical="center" wrapText="1"/>
      <protection hidden="1"/>
    </xf>
    <xf numFmtId="168" fontId="8" fillId="15" borderId="9" xfId="0" applyNumberFormat="1" applyFont="1" applyFill="1" applyBorder="1" applyAlignment="1" applyProtection="1">
      <alignment horizontal="center" vertical="center" wrapText="1"/>
      <protection hidden="1"/>
    </xf>
    <xf numFmtId="0" fontId="8" fillId="12" borderId="9" xfId="0" applyFont="1" applyFill="1" applyBorder="1" applyAlignment="1" applyProtection="1">
      <alignment horizontal="center" vertical="center" wrapText="1"/>
      <protection hidden="1"/>
    </xf>
    <xf numFmtId="0" fontId="8" fillId="0" borderId="23" xfId="0" applyFont="1" applyFill="1" applyBorder="1" applyAlignment="1" applyProtection="1">
      <alignment horizontal="center" vertical="center" wrapText="1"/>
      <protection hidden="1"/>
    </xf>
    <xf numFmtId="0" fontId="8" fillId="0" borderId="47" xfId="0" applyFont="1" applyFill="1" applyBorder="1" applyAlignment="1" applyProtection="1">
      <alignment horizontal="center" vertical="center" wrapText="1"/>
      <protection hidden="1"/>
    </xf>
    <xf numFmtId="1" fontId="8" fillId="15" borderId="55" xfId="0" applyNumberFormat="1" applyFont="1" applyFill="1" applyBorder="1" applyAlignment="1" applyProtection="1">
      <alignment horizontal="center" vertical="center" wrapText="1"/>
      <protection hidden="1"/>
    </xf>
    <xf numFmtId="1" fontId="8" fillId="15" borderId="42" xfId="0" applyNumberFormat="1" applyFont="1" applyFill="1" applyBorder="1" applyAlignment="1" applyProtection="1">
      <alignment horizontal="center" vertical="center" wrapText="1"/>
      <protection hidden="1"/>
    </xf>
    <xf numFmtId="14" fontId="8" fillId="12" borderId="42" xfId="0" applyNumberFormat="1" applyFont="1" applyFill="1" applyBorder="1" applyAlignment="1" applyProtection="1">
      <alignment horizontal="center" vertical="center" wrapText="1"/>
      <protection hidden="1"/>
    </xf>
    <xf numFmtId="2" fontId="8" fillId="15" borderId="42" xfId="0" applyNumberFormat="1" applyFont="1" applyFill="1" applyBorder="1" applyAlignment="1" applyProtection="1">
      <alignment horizontal="center" vertical="center" wrapText="1"/>
      <protection hidden="1"/>
    </xf>
    <xf numFmtId="165" fontId="8" fillId="15" borderId="42" xfId="0" applyNumberFormat="1" applyFont="1" applyFill="1" applyBorder="1" applyAlignment="1" applyProtection="1">
      <alignment horizontal="center" vertical="center" wrapText="1"/>
      <protection hidden="1"/>
    </xf>
    <xf numFmtId="166" fontId="8" fillId="15" borderId="42" xfId="0" applyNumberFormat="1" applyFont="1" applyFill="1" applyBorder="1" applyAlignment="1" applyProtection="1">
      <alignment horizontal="center" vertical="center" wrapText="1"/>
      <protection hidden="1"/>
    </xf>
    <xf numFmtId="171" fontId="8" fillId="19" borderId="42" xfId="0" applyNumberFormat="1" applyFont="1" applyFill="1" applyBorder="1" applyAlignment="1" applyProtection="1">
      <alignment horizontal="center" vertical="center" wrapText="1"/>
      <protection hidden="1"/>
    </xf>
    <xf numFmtId="169" fontId="8" fillId="15" borderId="42" xfId="0" applyNumberFormat="1" applyFont="1" applyFill="1" applyBorder="1" applyAlignment="1" applyProtection="1">
      <alignment horizontal="center" vertical="center" wrapText="1"/>
      <protection hidden="1"/>
    </xf>
    <xf numFmtId="0" fontId="8" fillId="0" borderId="44" xfId="0" applyFont="1" applyFill="1" applyBorder="1" applyAlignment="1" applyProtection="1">
      <alignment horizontal="center" vertical="center" wrapText="1"/>
      <protection hidden="1"/>
    </xf>
    <xf numFmtId="0" fontId="8" fillId="0" borderId="37" xfId="0" applyFont="1" applyFill="1" applyBorder="1" applyAlignment="1" applyProtection="1">
      <alignment horizontal="center" vertical="center" wrapText="1"/>
      <protection hidden="1"/>
    </xf>
    <xf numFmtId="2" fontId="8" fillId="0" borderId="0" xfId="0" applyNumberFormat="1" applyFont="1" applyAlignment="1" applyProtection="1">
      <alignment vertical="center" wrapText="1"/>
      <protection hidden="1"/>
    </xf>
    <xf numFmtId="0" fontId="36" fillId="2" borderId="0" xfId="0" applyFont="1" applyFill="1" applyBorder="1" applyAlignment="1" applyProtection="1">
      <alignment horizontal="center" vertical="center" wrapText="1"/>
      <protection hidden="1"/>
    </xf>
    <xf numFmtId="0" fontId="7" fillId="0" borderId="0" xfId="0" applyFont="1" applyFill="1" applyBorder="1" applyAlignment="1" applyProtection="1">
      <alignment vertical="center" wrapText="1"/>
      <protection hidden="1"/>
    </xf>
    <xf numFmtId="0" fontId="14" fillId="2" borderId="0" xfId="0" applyFont="1" applyFill="1" applyBorder="1" applyAlignment="1" applyProtection="1">
      <alignment vertical="center" wrapText="1"/>
      <protection hidden="1"/>
    </xf>
    <xf numFmtId="0" fontId="36" fillId="0" borderId="0" xfId="0" applyFont="1" applyFill="1" applyBorder="1" applyProtection="1">
      <protection hidden="1"/>
    </xf>
    <xf numFmtId="2" fontId="14" fillId="0" borderId="0" xfId="0" applyNumberFormat="1" applyFont="1" applyFill="1" applyBorder="1" applyAlignment="1" applyProtection="1">
      <alignment horizontal="center" wrapText="1"/>
      <protection hidden="1"/>
    </xf>
    <xf numFmtId="166" fontId="14" fillId="0" borderId="0" xfId="0" applyNumberFormat="1" applyFont="1" applyFill="1" applyBorder="1" applyAlignment="1" applyProtection="1">
      <alignment horizontal="center" wrapText="1"/>
      <protection hidden="1"/>
    </xf>
    <xf numFmtId="165" fontId="14" fillId="0" borderId="0" xfId="0" applyNumberFormat="1" applyFont="1" applyFill="1" applyBorder="1" applyAlignment="1" applyProtection="1">
      <alignment horizontal="center" wrapText="1"/>
      <protection hidden="1"/>
    </xf>
    <xf numFmtId="0" fontId="7" fillId="5" borderId="51" xfId="0" applyFont="1" applyFill="1" applyBorder="1" applyAlignment="1" applyProtection="1">
      <alignment horizontal="center" vertical="center" wrapText="1"/>
      <protection hidden="1"/>
    </xf>
    <xf numFmtId="171" fontId="8" fillId="12" borderId="9" xfId="0" applyNumberFormat="1" applyFont="1" applyFill="1" applyBorder="1" applyAlignment="1" applyProtection="1">
      <alignment horizontal="center" vertical="center" wrapText="1"/>
      <protection hidden="1"/>
    </xf>
    <xf numFmtId="0" fontId="7" fillId="18" borderId="18" xfId="0" applyFont="1" applyFill="1" applyBorder="1" applyAlignment="1" applyProtection="1">
      <alignment horizontal="center" vertical="center" wrapText="1"/>
      <protection hidden="1"/>
    </xf>
    <xf numFmtId="0" fontId="8" fillId="0" borderId="0" xfId="0" applyFont="1" applyFill="1" applyAlignment="1">
      <alignment vertical="center"/>
    </xf>
    <xf numFmtId="0" fontId="7" fillId="5" borderId="18" xfId="0" applyFont="1" applyFill="1" applyBorder="1" applyAlignment="1" applyProtection="1">
      <alignment horizontal="center" vertical="center" wrapText="1"/>
      <protection hidden="1"/>
    </xf>
    <xf numFmtId="0" fontId="7" fillId="5" borderId="20" xfId="0" applyFont="1" applyFill="1" applyBorder="1" applyAlignment="1" applyProtection="1">
      <alignment horizontal="center" vertical="center" wrapText="1"/>
      <protection hidden="1"/>
    </xf>
    <xf numFmtId="0" fontId="6" fillId="0" borderId="0" xfId="0" applyFont="1" applyBorder="1" applyProtection="1">
      <protection hidden="1"/>
    </xf>
    <xf numFmtId="0" fontId="6" fillId="0" borderId="6" xfId="0" applyFont="1" applyBorder="1" applyProtection="1">
      <protection hidden="1"/>
    </xf>
    <xf numFmtId="0" fontId="6" fillId="0" borderId="8" xfId="0" applyFont="1" applyBorder="1" applyProtection="1">
      <protection hidden="1"/>
    </xf>
    <xf numFmtId="0" fontId="7" fillId="0" borderId="0" xfId="0" applyFont="1" applyBorder="1" applyAlignment="1" applyProtection="1">
      <alignment vertical="center"/>
      <protection hidden="1"/>
    </xf>
    <xf numFmtId="0" fontId="6" fillId="0" borderId="0" xfId="0" applyFont="1" applyProtection="1">
      <protection hidden="1"/>
    </xf>
    <xf numFmtId="169" fontId="7" fillId="0" borderId="0" xfId="0" applyNumberFormat="1" applyFont="1" applyBorder="1" applyAlignment="1" applyProtection="1">
      <alignment vertical="center"/>
      <protection hidden="1"/>
    </xf>
    <xf numFmtId="169" fontId="6" fillId="0" borderId="0" xfId="0" applyNumberFormat="1" applyFont="1" applyProtection="1">
      <protection hidden="1"/>
    </xf>
    <xf numFmtId="0" fontId="6" fillId="0" borderId="0" xfId="0" applyFont="1" applyAlignment="1" applyProtection="1">
      <alignment horizontal="center" vertical="center"/>
      <protection hidden="1"/>
    </xf>
    <xf numFmtId="0" fontId="6" fillId="0" borderId="0" xfId="0" applyFont="1" applyFill="1" applyBorder="1" applyAlignment="1" applyProtection="1">
      <alignment vertical="center"/>
      <protection hidden="1"/>
    </xf>
    <xf numFmtId="0" fontId="6" fillId="0" borderId="0" xfId="0" applyFont="1" applyFill="1" applyBorder="1" applyAlignment="1" applyProtection="1">
      <protection hidden="1"/>
    </xf>
    <xf numFmtId="2" fontId="7" fillId="21" borderId="2" xfId="1" applyNumberFormat="1" applyFont="1" applyFill="1" applyBorder="1" applyAlignment="1" applyProtection="1">
      <alignment horizontal="center" vertical="center" wrapText="1"/>
      <protection hidden="1"/>
    </xf>
    <xf numFmtId="2" fontId="7" fillId="21" borderId="70" xfId="1" applyNumberFormat="1" applyFont="1" applyFill="1" applyBorder="1" applyAlignment="1" applyProtection="1">
      <alignment horizontal="center" vertical="center" wrapText="1"/>
      <protection hidden="1"/>
    </xf>
    <xf numFmtId="2" fontId="7" fillId="21" borderId="65" xfId="1" applyNumberFormat="1" applyFont="1" applyFill="1" applyBorder="1" applyAlignment="1" applyProtection="1">
      <alignment horizontal="center" vertical="center" wrapText="1"/>
      <protection hidden="1"/>
    </xf>
    <xf numFmtId="2" fontId="7" fillId="16" borderId="65" xfId="1" applyNumberFormat="1" applyFont="1" applyFill="1" applyBorder="1" applyAlignment="1" applyProtection="1">
      <alignment horizontal="center" vertical="center" wrapText="1"/>
      <protection hidden="1"/>
    </xf>
    <xf numFmtId="2" fontId="7" fillId="16" borderId="71" xfId="1" applyNumberFormat="1" applyFont="1" applyFill="1" applyBorder="1" applyAlignment="1" applyProtection="1">
      <alignment horizontal="center" vertical="center" wrapText="1"/>
      <protection hidden="1"/>
    </xf>
    <xf numFmtId="0" fontId="12" fillId="0" borderId="0" xfId="0" applyFont="1" applyProtection="1">
      <protection hidden="1"/>
    </xf>
    <xf numFmtId="0" fontId="6" fillId="2" borderId="38" xfId="0" applyFont="1" applyFill="1" applyBorder="1" applyAlignment="1" applyProtection="1">
      <alignment horizontal="center"/>
      <protection hidden="1"/>
    </xf>
    <xf numFmtId="0" fontId="6" fillId="2" borderId="39" xfId="0" applyFont="1" applyFill="1" applyBorder="1" applyAlignment="1" applyProtection="1">
      <alignment horizontal="center"/>
      <protection hidden="1"/>
    </xf>
    <xf numFmtId="0" fontId="6" fillId="0" borderId="39" xfId="0" applyFont="1" applyBorder="1" applyProtection="1">
      <protection hidden="1"/>
    </xf>
    <xf numFmtId="0" fontId="6" fillId="2" borderId="39" xfId="0" applyFont="1" applyFill="1" applyBorder="1" applyProtection="1">
      <protection hidden="1"/>
    </xf>
    <xf numFmtId="0" fontId="6" fillId="0" borderId="40" xfId="0" applyFont="1" applyBorder="1" applyProtection="1">
      <protection hidden="1"/>
    </xf>
    <xf numFmtId="0" fontId="6" fillId="0" borderId="0" xfId="0" applyFont="1" applyFill="1" applyBorder="1" applyProtection="1">
      <protection hidden="1"/>
    </xf>
    <xf numFmtId="0" fontId="6" fillId="0" borderId="0" xfId="0" applyFont="1" applyFill="1" applyProtection="1">
      <protection hidden="1"/>
    </xf>
    <xf numFmtId="0" fontId="6" fillId="7" borderId="31" xfId="0" applyFont="1" applyFill="1" applyBorder="1" applyAlignment="1" applyProtection="1">
      <alignment horizontal="center" vertical="center"/>
      <protection hidden="1"/>
    </xf>
    <xf numFmtId="0" fontId="6" fillId="7" borderId="9" xfId="0" applyFont="1" applyFill="1" applyBorder="1" applyAlignment="1" applyProtection="1">
      <alignment horizontal="center" vertical="center"/>
      <protection hidden="1"/>
    </xf>
    <xf numFmtId="169" fontId="6" fillId="31" borderId="9" xfId="0" applyNumberFormat="1" applyFont="1" applyFill="1" applyBorder="1" applyAlignment="1" applyProtection="1">
      <alignment horizontal="center" vertical="center"/>
      <protection locked="0" hidden="1"/>
    </xf>
    <xf numFmtId="0" fontId="6" fillId="7" borderId="9" xfId="0" applyFont="1" applyFill="1" applyBorder="1" applyAlignment="1" applyProtection="1">
      <alignment horizontal="center" vertical="center" wrapText="1"/>
      <protection hidden="1"/>
    </xf>
    <xf numFmtId="0" fontId="6" fillId="7" borderId="9" xfId="0" applyFont="1" applyFill="1" applyBorder="1" applyAlignment="1" applyProtection="1">
      <alignment horizontal="center" wrapText="1"/>
      <protection hidden="1"/>
    </xf>
    <xf numFmtId="0" fontId="7" fillId="18" borderId="1" xfId="0" applyFont="1" applyFill="1" applyBorder="1" applyAlignment="1" applyProtection="1">
      <alignment horizontal="center" vertical="center"/>
      <protection hidden="1"/>
    </xf>
    <xf numFmtId="0" fontId="6" fillId="2" borderId="41" xfId="0" applyFont="1" applyFill="1" applyBorder="1" applyAlignment="1" applyProtection="1">
      <alignment horizontal="center"/>
      <protection hidden="1"/>
    </xf>
    <xf numFmtId="0" fontId="6" fillId="2" borderId="42" xfId="0" applyFont="1" applyFill="1" applyBorder="1" applyAlignment="1" applyProtection="1">
      <alignment horizontal="center"/>
      <protection hidden="1"/>
    </xf>
    <xf numFmtId="169" fontId="6" fillId="2" borderId="42" xfId="0" applyNumberFormat="1" applyFont="1" applyFill="1" applyBorder="1" applyAlignment="1" applyProtection="1">
      <alignment horizontal="center"/>
      <protection hidden="1"/>
    </xf>
    <xf numFmtId="0" fontId="6" fillId="0" borderId="42" xfId="0" applyFont="1" applyFill="1" applyBorder="1" applyProtection="1">
      <protection hidden="1"/>
    </xf>
    <xf numFmtId="0" fontId="6" fillId="0" borderId="36" xfId="0" applyFont="1" applyBorder="1" applyProtection="1">
      <protection hidden="1"/>
    </xf>
    <xf numFmtId="0" fontId="6" fillId="0" borderId="38" xfId="0" applyFont="1" applyFill="1" applyBorder="1" applyAlignment="1" applyProtection="1">
      <alignment horizontal="center" vertical="center"/>
      <protection hidden="1"/>
    </xf>
    <xf numFmtId="0" fontId="6" fillId="0" borderId="0" xfId="0" applyFont="1" applyFill="1" applyBorder="1" applyAlignment="1" applyProtection="1">
      <alignment horizontal="center"/>
      <protection hidden="1"/>
    </xf>
    <xf numFmtId="0" fontId="6" fillId="0" borderId="0" xfId="0" applyFont="1" applyBorder="1" applyAlignment="1" applyProtection="1">
      <alignment horizontal="center"/>
      <protection hidden="1"/>
    </xf>
    <xf numFmtId="169" fontId="6" fillId="0" borderId="0" xfId="0" applyNumberFormat="1" applyFont="1" applyFill="1" applyBorder="1" applyAlignment="1" applyProtection="1">
      <alignment horizontal="center"/>
      <protection hidden="1"/>
    </xf>
    <xf numFmtId="0" fontId="6" fillId="7" borderId="34" xfId="0" applyFont="1" applyFill="1" applyBorder="1" applyAlignment="1" applyProtection="1">
      <alignment horizontal="center" vertical="center"/>
      <protection hidden="1"/>
    </xf>
    <xf numFmtId="0" fontId="6" fillId="7" borderId="11" xfId="0" applyFont="1" applyFill="1" applyBorder="1" applyAlignment="1" applyProtection="1">
      <alignment vertical="center"/>
      <protection hidden="1"/>
    </xf>
    <xf numFmtId="0" fontId="6" fillId="7" borderId="9" xfId="0" applyFont="1" applyFill="1" applyBorder="1" applyAlignment="1" applyProtection="1">
      <alignment vertical="center"/>
      <protection hidden="1"/>
    </xf>
    <xf numFmtId="0" fontId="6" fillId="7" borderId="33" xfId="0" applyFont="1" applyFill="1" applyBorder="1" applyAlignment="1" applyProtection="1">
      <alignment vertical="center" wrapText="1"/>
      <protection hidden="1"/>
    </xf>
    <xf numFmtId="2" fontId="6" fillId="7" borderId="9" xfId="0" applyNumberFormat="1" applyFont="1" applyFill="1" applyBorder="1" applyAlignment="1" applyProtection="1">
      <alignment vertical="center"/>
      <protection hidden="1"/>
    </xf>
    <xf numFmtId="0" fontId="6" fillId="7" borderId="41" xfId="0" applyFont="1" applyFill="1" applyBorder="1" applyAlignment="1" applyProtection="1">
      <alignment horizontal="center" vertical="center"/>
      <protection hidden="1"/>
    </xf>
    <xf numFmtId="2" fontId="6" fillId="7" borderId="42" xfId="0" applyNumberFormat="1" applyFont="1" applyFill="1" applyBorder="1" applyAlignment="1" applyProtection="1">
      <alignment vertical="center"/>
      <protection hidden="1"/>
    </xf>
    <xf numFmtId="0" fontId="6" fillId="7" borderId="42" xfId="0" applyFont="1" applyFill="1" applyBorder="1" applyAlignment="1" applyProtection="1">
      <alignment vertical="center"/>
      <protection hidden="1"/>
    </xf>
    <xf numFmtId="0" fontId="6" fillId="7" borderId="53" xfId="0" applyFont="1" applyFill="1" applyBorder="1" applyAlignment="1" applyProtection="1">
      <alignment vertical="center"/>
      <protection hidden="1"/>
    </xf>
    <xf numFmtId="0" fontId="6" fillId="7" borderId="36" xfId="0" applyFont="1" applyFill="1" applyBorder="1" applyAlignment="1" applyProtection="1">
      <alignment vertical="center" wrapText="1"/>
      <protection hidden="1"/>
    </xf>
    <xf numFmtId="2" fontId="7" fillId="16" borderId="1" xfId="1" applyNumberFormat="1" applyFont="1" applyFill="1" applyBorder="1" applyAlignment="1" applyProtection="1">
      <alignment horizontal="center" vertical="center" wrapText="1"/>
      <protection hidden="1"/>
    </xf>
    <xf numFmtId="2" fontId="7" fillId="16" borderId="19" xfId="1" applyNumberFormat="1" applyFont="1" applyFill="1" applyBorder="1" applyAlignment="1" applyProtection="1">
      <alignment horizontal="center" vertical="center" wrapText="1"/>
      <protection hidden="1"/>
    </xf>
    <xf numFmtId="2" fontId="7" fillId="21" borderId="19" xfId="1" applyNumberFormat="1" applyFont="1" applyFill="1" applyBorder="1" applyAlignment="1" applyProtection="1">
      <alignment horizontal="center" vertical="center" wrapText="1"/>
      <protection hidden="1"/>
    </xf>
    <xf numFmtId="0" fontId="6" fillId="2" borderId="39" xfId="0" applyFont="1" applyFill="1" applyBorder="1" applyAlignment="1" applyProtection="1">
      <alignment horizontal="center" vertical="center" wrapText="1"/>
      <protection hidden="1"/>
    </xf>
    <xf numFmtId="0" fontId="6" fillId="2" borderId="40" xfId="0" applyFont="1" applyFill="1" applyBorder="1" applyAlignment="1" applyProtection="1">
      <alignment horizontal="center" vertical="center" wrapText="1"/>
      <protection hidden="1"/>
    </xf>
    <xf numFmtId="0" fontId="6" fillId="0" borderId="0" xfId="0" applyFont="1" applyFill="1" applyBorder="1" applyAlignment="1" applyProtection="1">
      <alignment horizontal="center" vertical="center"/>
      <protection hidden="1"/>
    </xf>
    <xf numFmtId="49" fontId="6" fillId="31" borderId="9" xfId="0" applyNumberFormat="1" applyFont="1" applyFill="1" applyBorder="1" applyAlignment="1" applyProtection="1">
      <alignment horizontal="center" vertical="center" wrapText="1"/>
      <protection locked="0" hidden="1"/>
    </xf>
    <xf numFmtId="1" fontId="6" fillId="7" borderId="9" xfId="0" applyNumberFormat="1" applyFont="1" applyFill="1" applyBorder="1" applyAlignment="1" applyProtection="1">
      <alignment horizontal="center" vertical="center" wrapText="1"/>
      <protection hidden="1"/>
    </xf>
    <xf numFmtId="171" fontId="6" fillId="7" borderId="9" xfId="0" applyNumberFormat="1" applyFont="1" applyFill="1" applyBorder="1" applyAlignment="1" applyProtection="1">
      <alignment horizontal="center" vertical="center" wrapText="1"/>
      <protection hidden="1"/>
    </xf>
    <xf numFmtId="2" fontId="6" fillId="7" borderId="12" xfId="0" applyNumberFormat="1" applyFont="1" applyFill="1" applyBorder="1" applyAlignment="1" applyProtection="1">
      <alignment horizontal="center" vertical="center" wrapText="1"/>
      <protection hidden="1"/>
    </xf>
    <xf numFmtId="166" fontId="6" fillId="7" borderId="9" xfId="0" applyNumberFormat="1" applyFont="1" applyFill="1" applyBorder="1" applyAlignment="1" applyProtection="1">
      <alignment horizontal="center" vertical="center" wrapText="1"/>
      <protection hidden="1"/>
    </xf>
    <xf numFmtId="0" fontId="6" fillId="7" borderId="33" xfId="0" applyFont="1" applyFill="1" applyBorder="1" applyAlignment="1" applyProtection="1">
      <alignment horizontal="center" vertical="center"/>
      <protection hidden="1"/>
    </xf>
    <xf numFmtId="0" fontId="6" fillId="2" borderId="53" xfId="0" applyFont="1" applyFill="1" applyBorder="1" applyAlignment="1" applyProtection="1">
      <alignment horizontal="center"/>
      <protection hidden="1"/>
    </xf>
    <xf numFmtId="0" fontId="6" fillId="2" borderId="55" xfId="0" applyFont="1" applyFill="1" applyBorder="1" applyAlignment="1" applyProtection="1">
      <alignment horizontal="center"/>
      <protection hidden="1"/>
    </xf>
    <xf numFmtId="0" fontId="6" fillId="2" borderId="36" xfId="0" applyFont="1" applyFill="1" applyBorder="1" applyAlignment="1" applyProtection="1">
      <alignment horizontal="center"/>
      <protection hidden="1"/>
    </xf>
    <xf numFmtId="0" fontId="6" fillId="0" borderId="0" xfId="0" applyFont="1" applyBorder="1" applyAlignment="1" applyProtection="1">
      <alignment horizontal="center" vertical="center"/>
      <protection hidden="1"/>
    </xf>
    <xf numFmtId="169" fontId="6" fillId="0" borderId="0" xfId="0" applyNumberFormat="1" applyFont="1" applyBorder="1" applyAlignment="1" applyProtection="1">
      <alignment horizontal="center"/>
      <protection hidden="1"/>
    </xf>
    <xf numFmtId="0" fontId="6" fillId="31" borderId="66" xfId="0" applyFont="1" applyFill="1" applyBorder="1" applyAlignment="1" applyProtection="1">
      <alignment horizontal="center" vertical="center"/>
      <protection locked="0" hidden="1"/>
    </xf>
    <xf numFmtId="0" fontId="6" fillId="31" borderId="64" xfId="0" applyFont="1" applyFill="1" applyBorder="1" applyAlignment="1" applyProtection="1">
      <alignment horizontal="center" vertical="center"/>
      <protection locked="0" hidden="1"/>
    </xf>
    <xf numFmtId="0" fontId="6" fillId="31" borderId="67" xfId="0" applyFont="1" applyFill="1" applyBorder="1" applyAlignment="1" applyProtection="1">
      <alignment horizontal="center" vertical="center"/>
      <protection locked="0" hidden="1"/>
    </xf>
    <xf numFmtId="0" fontId="6" fillId="0" borderId="2" xfId="0" applyFont="1" applyBorder="1" applyProtection="1">
      <protection hidden="1"/>
    </xf>
    <xf numFmtId="0" fontId="6" fillId="0" borderId="3" xfId="0" applyFont="1" applyFill="1" applyBorder="1" applyAlignment="1" applyProtection="1">
      <alignment horizontal="center" vertical="center"/>
      <protection hidden="1"/>
    </xf>
    <xf numFmtId="169" fontId="6" fillId="0" borderId="0" xfId="0" applyNumberFormat="1" applyFont="1" applyFill="1" applyBorder="1" applyProtection="1">
      <protection hidden="1"/>
    </xf>
    <xf numFmtId="0" fontId="6" fillId="0" borderId="10" xfId="0" applyFont="1" applyBorder="1" applyProtection="1">
      <protection hidden="1"/>
    </xf>
    <xf numFmtId="0" fontId="7" fillId="0" borderId="0" xfId="0" applyFont="1" applyFill="1" applyBorder="1" applyAlignment="1" applyProtection="1">
      <alignment vertical="center"/>
      <protection hidden="1"/>
    </xf>
    <xf numFmtId="169" fontId="6" fillId="0" borderId="0" xfId="0" applyNumberFormat="1" applyFont="1" applyBorder="1" applyProtection="1">
      <protection hidden="1"/>
    </xf>
    <xf numFmtId="0" fontId="6" fillId="0" borderId="7" xfId="0" applyFont="1" applyBorder="1" applyProtection="1">
      <protection hidden="1"/>
    </xf>
    <xf numFmtId="169" fontId="6" fillId="0" borderId="7" xfId="0" applyNumberFormat="1" applyFont="1" applyBorder="1" applyProtection="1">
      <protection hidden="1"/>
    </xf>
    <xf numFmtId="0" fontId="7" fillId="7" borderId="38" xfId="0" applyFont="1" applyFill="1" applyBorder="1" applyAlignment="1" applyProtection="1">
      <alignment horizontal="center" vertical="center" wrapText="1"/>
      <protection hidden="1"/>
    </xf>
    <xf numFmtId="0" fontId="6" fillId="7" borderId="39" xfId="0" applyFont="1" applyFill="1" applyBorder="1" applyAlignment="1" applyProtection="1">
      <alignment horizontal="center" vertical="center" wrapText="1"/>
      <protection hidden="1"/>
    </xf>
    <xf numFmtId="2" fontId="6" fillId="7" borderId="39" xfId="0" applyNumberFormat="1" applyFont="1" applyFill="1" applyBorder="1" applyAlignment="1" applyProtection="1">
      <alignment horizontal="center" vertical="center" wrapText="1"/>
      <protection hidden="1"/>
    </xf>
    <xf numFmtId="0" fontId="6" fillId="7" borderId="39" xfId="0" applyFont="1" applyFill="1" applyBorder="1" applyAlignment="1" applyProtection="1">
      <alignment horizontal="center" vertical="center"/>
      <protection hidden="1"/>
    </xf>
    <xf numFmtId="165" fontId="6" fillId="7" borderId="39" xfId="0" applyNumberFormat="1" applyFont="1" applyFill="1" applyBorder="1" applyAlignment="1" applyProtection="1">
      <alignment horizontal="center" vertical="center" wrapText="1"/>
      <protection hidden="1"/>
    </xf>
    <xf numFmtId="171" fontId="6" fillId="7" borderId="40" xfId="0" applyNumberFormat="1" applyFont="1" applyFill="1" applyBorder="1" applyAlignment="1" applyProtection="1">
      <alignment horizontal="center" vertical="center" wrapText="1"/>
      <protection hidden="1"/>
    </xf>
    <xf numFmtId="0" fontId="7" fillId="7" borderId="41" xfId="0" applyFont="1" applyFill="1" applyBorder="1" applyAlignment="1" applyProtection="1">
      <alignment horizontal="center" vertical="center" wrapText="1"/>
      <protection hidden="1"/>
    </xf>
    <xf numFmtId="0" fontId="6" fillId="7" borderId="42" xfId="0" applyFont="1" applyFill="1" applyBorder="1" applyAlignment="1" applyProtection="1">
      <alignment horizontal="center" vertical="center" wrapText="1"/>
      <protection hidden="1"/>
    </xf>
    <xf numFmtId="14" fontId="6" fillId="7" borderId="42" xfId="0" applyNumberFormat="1" applyFont="1" applyFill="1" applyBorder="1" applyAlignment="1" applyProtection="1">
      <alignment horizontal="center" vertical="center" wrapText="1"/>
      <protection hidden="1"/>
    </xf>
    <xf numFmtId="167" fontId="6" fillId="7" borderId="42" xfId="0" applyNumberFormat="1" applyFont="1" applyFill="1" applyBorder="1" applyAlignment="1" applyProtection="1">
      <alignment horizontal="center" vertical="center" wrapText="1"/>
      <protection hidden="1"/>
    </xf>
    <xf numFmtId="2" fontId="6" fillId="7" borderId="42" xfId="0" applyNumberFormat="1" applyFont="1" applyFill="1" applyBorder="1" applyAlignment="1" applyProtection="1">
      <alignment horizontal="center" vertical="center" wrapText="1"/>
      <protection hidden="1"/>
    </xf>
    <xf numFmtId="0" fontId="6" fillId="7" borderId="42" xfId="0" applyFont="1" applyFill="1" applyBorder="1" applyAlignment="1" applyProtection="1">
      <alignment horizontal="center" vertical="center"/>
      <protection hidden="1"/>
    </xf>
    <xf numFmtId="165" fontId="6" fillId="7" borderId="42" xfId="0" applyNumberFormat="1" applyFont="1" applyFill="1" applyBorder="1" applyAlignment="1" applyProtection="1">
      <alignment horizontal="center" vertical="center" wrapText="1"/>
      <protection hidden="1"/>
    </xf>
    <xf numFmtId="171" fontId="6" fillId="7" borderId="36" xfId="0" applyNumberFormat="1" applyFont="1" applyFill="1" applyBorder="1" applyAlignment="1" applyProtection="1">
      <alignment horizontal="center" vertical="center" wrapText="1"/>
      <protection hidden="1"/>
    </xf>
    <xf numFmtId="169" fontId="7" fillId="5" borderId="21" xfId="0" applyNumberFormat="1" applyFont="1" applyFill="1" applyBorder="1" applyAlignment="1" applyProtection="1">
      <alignment horizontal="center" vertical="center" wrapText="1"/>
      <protection hidden="1"/>
    </xf>
    <xf numFmtId="0" fontId="7" fillId="5" borderId="19"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6" fillId="0" borderId="7" xfId="0" applyFont="1" applyFill="1" applyBorder="1" applyProtection="1">
      <protection hidden="1"/>
    </xf>
    <xf numFmtId="0" fontId="6" fillId="0" borderId="8" xfId="0" applyFont="1" applyBorder="1" applyAlignment="1" applyProtection="1">
      <alignment horizontal="center" vertical="center"/>
      <protection hidden="1"/>
    </xf>
    <xf numFmtId="14" fontId="6" fillId="0" borderId="0" xfId="0" applyNumberFormat="1" applyFont="1" applyFill="1" applyBorder="1" applyAlignment="1" applyProtection="1">
      <alignment horizontal="center" vertical="center" wrapText="1"/>
      <protection hidden="1"/>
    </xf>
    <xf numFmtId="0" fontId="7" fillId="7" borderId="38" xfId="0" applyFont="1" applyFill="1" applyBorder="1" applyAlignment="1" applyProtection="1">
      <alignment horizontal="center" vertical="center"/>
      <protection hidden="1"/>
    </xf>
    <xf numFmtId="167" fontId="6" fillId="7" borderId="39" xfId="0" applyNumberFormat="1" applyFont="1" applyFill="1" applyBorder="1" applyAlignment="1" applyProtection="1">
      <alignment horizontal="center" vertical="center"/>
      <protection hidden="1"/>
    </xf>
    <xf numFmtId="0" fontId="6" fillId="31" borderId="39" xfId="0" applyFont="1" applyFill="1" applyBorder="1" applyAlignment="1" applyProtection="1">
      <alignment horizontal="center" vertical="center"/>
      <protection hidden="1"/>
    </xf>
    <xf numFmtId="169" fontId="6" fillId="0" borderId="0" xfId="0" applyNumberFormat="1"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7" fillId="7" borderId="41" xfId="0" applyFont="1" applyFill="1" applyBorder="1" applyAlignment="1" applyProtection="1">
      <alignment horizontal="center" vertical="center"/>
      <protection hidden="1"/>
    </xf>
    <xf numFmtId="167" fontId="6" fillId="7" borderId="42" xfId="0" applyNumberFormat="1" applyFont="1" applyFill="1" applyBorder="1" applyAlignment="1" applyProtection="1">
      <alignment horizontal="center" vertical="center"/>
      <protection hidden="1"/>
    </xf>
    <xf numFmtId="0" fontId="6" fillId="0" borderId="3" xfId="0" applyFont="1" applyBorder="1" applyAlignment="1" applyProtection="1">
      <alignment vertical="center" textRotation="90" wrapText="1"/>
      <protection hidden="1"/>
    </xf>
    <xf numFmtId="2" fontId="6" fillId="0" borderId="0" xfId="0" applyNumberFormat="1" applyFont="1" applyBorder="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7" fillId="5" borderId="43" xfId="0" applyFont="1" applyFill="1" applyBorder="1" applyAlignment="1" applyProtection="1">
      <alignment horizontal="center" vertical="center" wrapText="1"/>
      <protection hidden="1"/>
    </xf>
    <xf numFmtId="169" fontId="7" fillId="5" borderId="51" xfId="0" applyNumberFormat="1" applyFont="1" applyFill="1" applyBorder="1" applyAlignment="1" applyProtection="1">
      <alignment horizontal="center" vertical="center" wrapText="1"/>
      <protection hidden="1"/>
    </xf>
    <xf numFmtId="0" fontId="6" fillId="5" borderId="76" xfId="0" applyFont="1" applyFill="1" applyBorder="1" applyAlignment="1" applyProtection="1">
      <alignment horizontal="center" vertical="center"/>
      <protection hidden="1"/>
    </xf>
    <xf numFmtId="169" fontId="6" fillId="0" borderId="0" xfId="0" applyNumberFormat="1" applyFont="1" applyBorder="1" applyAlignment="1" applyProtection="1">
      <alignment horizontal="center" vertical="center"/>
      <protection hidden="1"/>
    </xf>
    <xf numFmtId="0" fontId="6" fillId="7" borderId="46" xfId="0" applyFont="1" applyFill="1" applyBorder="1" applyAlignment="1" applyProtection="1">
      <alignment horizontal="center" vertical="center" wrapText="1"/>
      <protection hidden="1"/>
    </xf>
    <xf numFmtId="166" fontId="6" fillId="7" borderId="39" xfId="0" applyNumberFormat="1" applyFont="1" applyFill="1" applyBorder="1" applyAlignment="1" applyProtection="1">
      <alignment horizontal="center" vertical="center"/>
      <protection hidden="1"/>
    </xf>
    <xf numFmtId="165" fontId="6" fillId="31" borderId="40" xfId="0" applyNumberFormat="1" applyFont="1" applyFill="1" applyBorder="1" applyAlignment="1" applyProtection="1">
      <alignment horizontal="center" vertical="center"/>
      <protection hidden="1"/>
    </xf>
    <xf numFmtId="166" fontId="6" fillId="7" borderId="9" xfId="0" applyNumberFormat="1" applyFont="1" applyFill="1" applyBorder="1" applyAlignment="1" applyProtection="1">
      <alignment horizontal="center" vertical="center"/>
      <protection hidden="1"/>
    </xf>
    <xf numFmtId="167" fontId="6" fillId="7" borderId="9" xfId="0" applyNumberFormat="1" applyFont="1" applyFill="1" applyBorder="1" applyAlignment="1" applyProtection="1">
      <alignment horizontal="center" vertical="center"/>
      <protection hidden="1"/>
    </xf>
    <xf numFmtId="0" fontId="6" fillId="31" borderId="9" xfId="0" applyFont="1" applyFill="1" applyBorder="1" applyAlignment="1" applyProtection="1">
      <alignment horizontal="center" vertical="center"/>
      <protection hidden="1"/>
    </xf>
    <xf numFmtId="165" fontId="6" fillId="31" borderId="33" xfId="0" applyNumberFormat="1" applyFont="1" applyFill="1" applyBorder="1" applyAlignment="1" applyProtection="1">
      <alignment horizontal="center" vertical="center"/>
      <protection hidden="1"/>
    </xf>
    <xf numFmtId="0" fontId="6" fillId="31" borderId="42" xfId="0" applyFont="1" applyFill="1" applyBorder="1" applyAlignment="1" applyProtection="1">
      <alignment horizontal="center" vertical="center"/>
      <protection hidden="1"/>
    </xf>
    <xf numFmtId="165" fontId="6" fillId="31" borderId="36" xfId="0" applyNumberFormat="1" applyFont="1" applyFill="1" applyBorder="1" applyAlignment="1" applyProtection="1">
      <alignment horizontal="center" vertical="center"/>
      <protection hidden="1"/>
    </xf>
    <xf numFmtId="0" fontId="6" fillId="0" borderId="0" xfId="0" applyFont="1" applyFill="1" applyBorder="1" applyAlignment="1" applyProtection="1">
      <alignment vertical="center" wrapText="1"/>
      <protection hidden="1"/>
    </xf>
    <xf numFmtId="169" fontId="6" fillId="0" borderId="7" xfId="0" applyNumberFormat="1" applyFont="1" applyBorder="1" applyAlignment="1" applyProtection="1">
      <alignment horizontal="center" vertical="center"/>
      <protection hidden="1"/>
    </xf>
    <xf numFmtId="166" fontId="6" fillId="31" borderId="39" xfId="0" applyNumberFormat="1" applyFont="1" applyFill="1" applyBorder="1" applyAlignment="1" applyProtection="1">
      <alignment horizontal="center" vertical="center"/>
      <protection hidden="1"/>
    </xf>
    <xf numFmtId="166" fontId="6" fillId="31" borderId="9" xfId="0" applyNumberFormat="1" applyFont="1" applyFill="1" applyBorder="1" applyAlignment="1" applyProtection="1">
      <alignment horizontal="center" vertical="center"/>
      <protection hidden="1"/>
    </xf>
    <xf numFmtId="166" fontId="6" fillId="0" borderId="0" xfId="0" applyNumberFormat="1" applyFont="1" applyProtection="1">
      <protection hidden="1"/>
    </xf>
    <xf numFmtId="0" fontId="7" fillId="5" borderId="15" xfId="0" applyFont="1" applyFill="1" applyBorder="1" applyAlignment="1" applyProtection="1">
      <alignment horizontal="center" vertical="center" wrapText="1"/>
      <protection hidden="1"/>
    </xf>
    <xf numFmtId="0" fontId="7" fillId="5" borderId="49" xfId="0" applyFont="1" applyFill="1" applyBorder="1" applyAlignment="1" applyProtection="1">
      <alignment horizontal="center" vertical="center" wrapText="1"/>
      <protection hidden="1"/>
    </xf>
    <xf numFmtId="169" fontId="7" fillId="5" borderId="63" xfId="0" applyNumberFormat="1" applyFont="1" applyFill="1" applyBorder="1" applyAlignment="1" applyProtection="1">
      <alignment horizontal="center" vertical="center" wrapText="1"/>
      <protection hidden="1"/>
    </xf>
    <xf numFmtId="0" fontId="7" fillId="5" borderId="63" xfId="0" applyFont="1" applyFill="1" applyBorder="1" applyAlignment="1" applyProtection="1">
      <alignment horizontal="center" vertical="center" wrapText="1"/>
      <protection hidden="1"/>
    </xf>
    <xf numFmtId="0" fontId="6" fillId="2" borderId="6" xfId="0" applyFont="1" applyFill="1" applyBorder="1" applyProtection="1">
      <protection hidden="1"/>
    </xf>
    <xf numFmtId="0" fontId="6" fillId="2" borderId="7" xfId="0" applyFont="1" applyFill="1" applyBorder="1" applyProtection="1">
      <protection hidden="1"/>
    </xf>
    <xf numFmtId="0" fontId="6" fillId="2" borderId="7" xfId="0" applyFont="1" applyFill="1" applyBorder="1" applyAlignment="1" applyProtection="1">
      <alignment horizontal="center" vertical="center"/>
      <protection hidden="1"/>
    </xf>
    <xf numFmtId="169" fontId="6" fillId="2" borderId="7" xfId="0" applyNumberFormat="1" applyFont="1" applyFill="1" applyBorder="1" applyAlignment="1" applyProtection="1">
      <alignment horizontal="center" vertical="center"/>
      <protection hidden="1"/>
    </xf>
    <xf numFmtId="0" fontId="6" fillId="2" borderId="8" xfId="0" applyFont="1" applyFill="1" applyBorder="1" applyProtection="1">
      <protection hidden="1"/>
    </xf>
    <xf numFmtId="0" fontId="6" fillId="0" borderId="10" xfId="0" applyFont="1" applyBorder="1" applyAlignment="1" applyProtection="1">
      <alignment horizontal="center"/>
      <protection hidden="1"/>
    </xf>
    <xf numFmtId="0" fontId="6" fillId="0" borderId="47" xfId="0" applyFont="1" applyBorder="1" applyAlignment="1" applyProtection="1">
      <alignment horizontal="center"/>
      <protection hidden="1"/>
    </xf>
    <xf numFmtId="0" fontId="6" fillId="2" borderId="3" xfId="0" applyFont="1" applyFill="1" applyBorder="1" applyAlignment="1" applyProtection="1">
      <alignment vertical="center" textRotation="90"/>
      <protection hidden="1"/>
    </xf>
    <xf numFmtId="0" fontId="6" fillId="2" borderId="3" xfId="0" applyFont="1" applyFill="1" applyBorder="1" applyAlignment="1" applyProtection="1">
      <alignment horizontal="center" vertical="center"/>
      <protection hidden="1"/>
    </xf>
    <xf numFmtId="0" fontId="6" fillId="2" borderId="3" xfId="0" applyFont="1" applyFill="1" applyBorder="1" applyProtection="1">
      <protection hidden="1"/>
    </xf>
    <xf numFmtId="0" fontId="6" fillId="0" borderId="3" xfId="0" applyFont="1" applyFill="1" applyBorder="1" applyAlignment="1" applyProtection="1">
      <alignment horizontal="center" vertical="center" wrapText="1"/>
      <protection hidden="1"/>
    </xf>
    <xf numFmtId="169" fontId="6" fillId="0" borderId="3" xfId="0" applyNumberFormat="1" applyFont="1" applyFill="1" applyBorder="1" applyAlignment="1" applyProtection="1">
      <alignment horizontal="center" vertical="center"/>
      <protection hidden="1"/>
    </xf>
    <xf numFmtId="0" fontId="6" fillId="0" borderId="4" xfId="0" applyFont="1" applyFill="1" applyBorder="1" applyProtection="1">
      <protection hidden="1"/>
    </xf>
    <xf numFmtId="0" fontId="6" fillId="0" borderId="45" xfId="0" applyFont="1" applyBorder="1" applyProtection="1">
      <protection hidden="1"/>
    </xf>
    <xf numFmtId="0" fontId="6" fillId="2" borderId="5" xfId="0" applyFont="1" applyFill="1" applyBorder="1" applyAlignment="1" applyProtection="1">
      <alignment vertical="center" textRotation="90"/>
      <protection hidden="1"/>
    </xf>
    <xf numFmtId="0" fontId="6" fillId="2" borderId="5" xfId="0" applyFont="1" applyFill="1" applyBorder="1" applyAlignment="1" applyProtection="1">
      <alignment horizontal="center" vertical="center"/>
      <protection hidden="1"/>
    </xf>
    <xf numFmtId="0" fontId="6" fillId="2" borderId="5" xfId="0" applyFont="1" applyFill="1" applyBorder="1" applyProtection="1">
      <protection hidden="1"/>
    </xf>
    <xf numFmtId="0" fontId="6" fillId="0" borderId="5" xfId="0" applyFont="1" applyFill="1" applyBorder="1" applyAlignment="1" applyProtection="1">
      <alignment horizontal="center" vertical="center" wrapText="1"/>
      <protection hidden="1"/>
    </xf>
    <xf numFmtId="0" fontId="6" fillId="0" borderId="5" xfId="0" applyFont="1" applyFill="1" applyBorder="1" applyAlignment="1" applyProtection="1">
      <alignment horizontal="center" vertical="center"/>
      <protection hidden="1"/>
    </xf>
    <xf numFmtId="169" fontId="6" fillId="0" borderId="0" xfId="0" applyNumberFormat="1" applyFont="1" applyFill="1" applyBorder="1" applyAlignment="1" applyProtection="1">
      <alignment horizontal="center" vertical="center"/>
      <protection hidden="1"/>
    </xf>
    <xf numFmtId="0" fontId="6" fillId="0" borderId="47" xfId="0" applyFont="1" applyFill="1" applyBorder="1" applyProtection="1">
      <protection hidden="1"/>
    </xf>
    <xf numFmtId="0" fontId="6" fillId="0" borderId="10" xfId="0" applyFont="1" applyFill="1" applyBorder="1" applyAlignment="1" applyProtection="1">
      <alignment horizontal="center"/>
      <protection hidden="1"/>
    </xf>
    <xf numFmtId="0" fontId="6" fillId="0" borderId="47" xfId="0" applyFont="1" applyFill="1" applyBorder="1" applyAlignment="1" applyProtection="1">
      <alignment horizontal="center"/>
      <protection hidden="1"/>
    </xf>
    <xf numFmtId="0" fontId="6" fillId="2" borderId="0" xfId="0" applyFont="1" applyFill="1" applyBorder="1" applyAlignment="1" applyProtection="1">
      <alignment vertical="center" textRotation="90"/>
      <protection hidden="1"/>
    </xf>
    <xf numFmtId="0" fontId="6" fillId="2" borderId="0" xfId="0" applyFont="1" applyFill="1" applyBorder="1" applyProtection="1">
      <protection hidden="1"/>
    </xf>
    <xf numFmtId="0" fontId="6" fillId="2" borderId="0" xfId="0" applyFont="1" applyFill="1" applyBorder="1" applyAlignment="1" applyProtection="1">
      <alignment horizontal="center" vertical="center"/>
      <protection hidden="1"/>
    </xf>
    <xf numFmtId="0" fontId="6" fillId="0" borderId="0" xfId="0" applyFont="1" applyFill="1" applyBorder="1" applyAlignment="1" applyProtection="1">
      <alignment horizontal="center" vertical="center" wrapText="1"/>
      <protection hidden="1"/>
    </xf>
    <xf numFmtId="0" fontId="6" fillId="0" borderId="45" xfId="0" applyFont="1" applyBorder="1" applyAlignment="1" applyProtection="1">
      <alignment horizontal="center"/>
      <protection hidden="1"/>
    </xf>
    <xf numFmtId="0" fontId="6" fillId="0" borderId="5" xfId="0" applyFont="1" applyBorder="1" applyProtection="1">
      <protection hidden="1"/>
    </xf>
    <xf numFmtId="0" fontId="6" fillId="0" borderId="5" xfId="0" applyFont="1" applyFill="1" applyBorder="1" applyAlignment="1" applyProtection="1">
      <alignment horizontal="center"/>
      <protection hidden="1"/>
    </xf>
    <xf numFmtId="0" fontId="6" fillId="0" borderId="5" xfId="0" applyFont="1" applyBorder="1" applyAlignment="1" applyProtection="1">
      <alignment horizontal="center"/>
      <protection hidden="1"/>
    </xf>
    <xf numFmtId="0" fontId="6" fillId="0" borderId="37" xfId="0" applyFont="1" applyBorder="1" applyAlignment="1" applyProtection="1">
      <alignment horizontal="center"/>
      <protection hidden="1"/>
    </xf>
    <xf numFmtId="0" fontId="6" fillId="0" borderId="2" xfId="0" applyFont="1" applyBorder="1" applyAlignment="1" applyProtection="1">
      <alignment horizontal="center" vertical="center"/>
      <protection hidden="1"/>
    </xf>
    <xf numFmtId="0" fontId="7" fillId="5" borderId="70" xfId="0" applyFont="1" applyFill="1" applyBorder="1" applyAlignment="1" applyProtection="1">
      <alignment horizontal="center" vertical="center" wrapText="1"/>
      <protection hidden="1"/>
    </xf>
    <xf numFmtId="0" fontId="7" fillId="5" borderId="65" xfId="0" applyFont="1" applyFill="1" applyBorder="1" applyAlignment="1" applyProtection="1">
      <alignment horizontal="center" vertical="center" wrapText="1"/>
      <protection hidden="1"/>
    </xf>
    <xf numFmtId="169" fontId="7" fillId="5" borderId="65" xfId="0" applyNumberFormat="1" applyFont="1" applyFill="1" applyBorder="1" applyAlignment="1" applyProtection="1">
      <alignment horizontal="center" vertical="center" wrapText="1"/>
      <protection hidden="1"/>
    </xf>
    <xf numFmtId="0" fontId="7" fillId="5" borderId="65" xfId="0" applyFont="1" applyFill="1" applyBorder="1" applyAlignment="1" applyProtection="1">
      <alignment horizontal="center" vertical="center"/>
      <protection hidden="1"/>
    </xf>
    <xf numFmtId="0" fontId="7" fillId="5" borderId="71" xfId="0" applyFont="1" applyFill="1" applyBorder="1" applyAlignment="1" applyProtection="1">
      <alignment horizontal="center" vertical="center" wrapText="1"/>
      <protection hidden="1"/>
    </xf>
    <xf numFmtId="0" fontId="6" fillId="0" borderId="6" xfId="0" applyFont="1" applyBorder="1" applyAlignment="1" applyProtection="1">
      <alignment horizontal="center" vertical="center"/>
      <protection hidden="1"/>
    </xf>
    <xf numFmtId="0" fontId="6" fillId="0" borderId="7" xfId="0" applyFont="1" applyBorder="1" applyAlignment="1" applyProtection="1">
      <alignment horizontal="center"/>
      <protection hidden="1"/>
    </xf>
    <xf numFmtId="0" fontId="6" fillId="0" borderId="49" xfId="0" applyFont="1" applyBorder="1" applyAlignment="1" applyProtection="1">
      <alignment horizontal="center"/>
      <protection hidden="1"/>
    </xf>
    <xf numFmtId="0" fontId="6" fillId="0" borderId="63" xfId="0" applyFont="1" applyBorder="1" applyAlignment="1" applyProtection="1">
      <alignment horizontal="center"/>
      <protection hidden="1"/>
    </xf>
    <xf numFmtId="0" fontId="6" fillId="7" borderId="38" xfId="0" applyFont="1" applyFill="1" applyBorder="1" applyAlignment="1" applyProtection="1">
      <alignment horizontal="center" vertical="center" wrapText="1"/>
      <protection hidden="1"/>
    </xf>
    <xf numFmtId="166" fontId="6" fillId="31" borderId="39" xfId="0" applyNumberFormat="1" applyFont="1" applyFill="1" applyBorder="1" applyAlignment="1" applyProtection="1">
      <alignment horizontal="center" vertical="center" wrapText="1"/>
      <protection hidden="1"/>
    </xf>
    <xf numFmtId="0" fontId="6" fillId="31" borderId="39" xfId="0" applyFont="1" applyFill="1" applyBorder="1" applyAlignment="1" applyProtection="1">
      <alignment horizontal="center" vertical="center" wrapText="1"/>
      <protection hidden="1"/>
    </xf>
    <xf numFmtId="164" fontId="6" fillId="31" borderId="39" xfId="0" applyNumberFormat="1" applyFont="1" applyFill="1" applyBorder="1" applyAlignment="1" applyProtection="1">
      <alignment horizontal="center" vertical="center" wrapText="1"/>
      <protection hidden="1"/>
    </xf>
    <xf numFmtId="164" fontId="6" fillId="31" borderId="40" xfId="0" applyNumberFormat="1" applyFont="1" applyFill="1" applyBorder="1" applyAlignment="1" applyProtection="1">
      <alignment horizontal="center" vertical="center" wrapText="1"/>
      <protection hidden="1"/>
    </xf>
    <xf numFmtId="0" fontId="6" fillId="18" borderId="38" xfId="0" applyFont="1" applyFill="1" applyBorder="1" applyAlignment="1" applyProtection="1">
      <alignment horizontal="center" vertical="center"/>
      <protection hidden="1"/>
    </xf>
    <xf numFmtId="0" fontId="6" fillId="18" borderId="39" xfId="0" applyFont="1" applyFill="1" applyBorder="1" applyAlignment="1" applyProtection="1">
      <alignment horizontal="center" vertical="center" wrapText="1"/>
      <protection hidden="1"/>
    </xf>
    <xf numFmtId="0" fontId="6" fillId="18" borderId="39" xfId="0" applyFont="1" applyFill="1" applyBorder="1" applyAlignment="1" applyProtection="1">
      <alignment horizontal="center" vertical="center"/>
      <protection hidden="1"/>
    </xf>
    <xf numFmtId="0" fontId="6" fillId="18" borderId="40" xfId="0" applyFont="1" applyFill="1" applyBorder="1" applyAlignment="1" applyProtection="1">
      <alignment horizontal="center" vertical="center"/>
      <protection hidden="1"/>
    </xf>
    <xf numFmtId="0" fontId="6" fillId="7" borderId="31" xfId="0" applyFont="1" applyFill="1" applyBorder="1" applyAlignment="1" applyProtection="1">
      <alignment horizontal="center" vertical="center" wrapText="1"/>
      <protection hidden="1"/>
    </xf>
    <xf numFmtId="167" fontId="6" fillId="7" borderId="9" xfId="0" applyNumberFormat="1" applyFont="1" applyFill="1" applyBorder="1" applyAlignment="1" applyProtection="1">
      <alignment horizontal="center" vertical="center" wrapText="1"/>
      <protection hidden="1"/>
    </xf>
    <xf numFmtId="169" fontId="6" fillId="7" borderId="9" xfId="0" applyNumberFormat="1" applyFont="1" applyFill="1" applyBorder="1" applyAlignment="1" applyProtection="1">
      <alignment horizontal="center" vertical="center" wrapText="1"/>
      <protection hidden="1"/>
    </xf>
    <xf numFmtId="14" fontId="6" fillId="7" borderId="9" xfId="0" applyNumberFormat="1" applyFont="1" applyFill="1" applyBorder="1" applyAlignment="1" applyProtection="1">
      <alignment horizontal="center" vertical="center" wrapText="1"/>
      <protection hidden="1"/>
    </xf>
    <xf numFmtId="2" fontId="6" fillId="31" borderId="9" xfId="0" applyNumberFormat="1" applyFont="1" applyFill="1" applyBorder="1" applyAlignment="1" applyProtection="1">
      <alignment horizontal="center" vertical="center" wrapText="1"/>
      <protection hidden="1"/>
    </xf>
    <xf numFmtId="164" fontId="6" fillId="31" borderId="9" xfId="0" applyNumberFormat="1" applyFont="1" applyFill="1" applyBorder="1" applyAlignment="1" applyProtection="1">
      <alignment horizontal="center" vertical="center" wrapText="1"/>
      <protection hidden="1"/>
    </xf>
    <xf numFmtId="0" fontId="6" fillId="31" borderId="9" xfId="0" applyFont="1" applyFill="1" applyBorder="1" applyAlignment="1" applyProtection="1">
      <alignment horizontal="center" vertical="center" wrapText="1"/>
      <protection hidden="1"/>
    </xf>
    <xf numFmtId="164" fontId="6" fillId="31" borderId="33" xfId="0" applyNumberFormat="1" applyFont="1" applyFill="1" applyBorder="1" applyAlignment="1" applyProtection="1">
      <alignment horizontal="center" vertical="center" wrapText="1"/>
      <protection hidden="1"/>
    </xf>
    <xf numFmtId="0" fontId="6" fillId="0" borderId="31" xfId="0" applyFont="1" applyFill="1" applyBorder="1" applyAlignment="1" applyProtection="1">
      <alignment horizontal="center" vertical="center" wrapText="1"/>
      <protection hidden="1"/>
    </xf>
    <xf numFmtId="0" fontId="6" fillId="0" borderId="9" xfId="0" applyFont="1" applyFill="1" applyBorder="1" applyAlignment="1" applyProtection="1">
      <alignment horizontal="center" vertical="center" wrapText="1"/>
      <protection hidden="1"/>
    </xf>
    <xf numFmtId="0" fontId="6" fillId="0" borderId="33" xfId="0" applyFont="1" applyBorder="1" applyAlignment="1" applyProtection="1">
      <alignment horizontal="center" vertical="center" wrapText="1"/>
      <protection hidden="1"/>
    </xf>
    <xf numFmtId="0" fontId="6" fillId="7" borderId="29" xfId="0" applyFont="1" applyFill="1" applyBorder="1" applyAlignment="1" applyProtection="1">
      <alignment horizontal="center" vertical="center" wrapText="1"/>
      <protection hidden="1"/>
    </xf>
    <xf numFmtId="0" fontId="6" fillId="7" borderId="33" xfId="0" applyFont="1" applyFill="1" applyBorder="1" applyAlignment="1" applyProtection="1">
      <alignment horizontal="center" vertical="center" wrapText="1"/>
      <protection hidden="1"/>
    </xf>
    <xf numFmtId="166" fontId="6" fillId="31" borderId="9" xfId="0" applyNumberFormat="1" applyFont="1" applyFill="1" applyBorder="1" applyAlignment="1" applyProtection="1">
      <alignment horizontal="center" vertical="center" wrapText="1"/>
      <protection hidden="1"/>
    </xf>
    <xf numFmtId="0" fontId="6" fillId="7" borderId="41" xfId="0" applyFont="1" applyFill="1" applyBorder="1" applyAlignment="1" applyProtection="1">
      <alignment horizontal="center" vertical="center" wrapText="1"/>
      <protection hidden="1"/>
    </xf>
    <xf numFmtId="169" fontId="6" fillId="7" borderId="42" xfId="0" applyNumberFormat="1" applyFont="1" applyFill="1" applyBorder="1" applyAlignment="1" applyProtection="1">
      <alignment horizontal="center" vertical="center" wrapText="1"/>
      <protection hidden="1"/>
    </xf>
    <xf numFmtId="2" fontId="6" fillId="31" borderId="42" xfId="0" applyNumberFormat="1" applyFont="1" applyFill="1" applyBorder="1" applyAlignment="1" applyProtection="1">
      <alignment horizontal="center" vertical="center" wrapText="1"/>
      <protection hidden="1"/>
    </xf>
    <xf numFmtId="164" fontId="6" fillId="31" borderId="42" xfId="0" applyNumberFormat="1" applyFont="1" applyFill="1" applyBorder="1" applyAlignment="1" applyProtection="1">
      <alignment horizontal="center" vertical="center" wrapText="1"/>
      <protection hidden="1"/>
    </xf>
    <xf numFmtId="0" fontId="6" fillId="31" borderId="42" xfId="0" applyFont="1" applyFill="1" applyBorder="1" applyAlignment="1" applyProtection="1">
      <alignment horizontal="center" vertical="center" wrapText="1"/>
      <protection hidden="1"/>
    </xf>
    <xf numFmtId="164" fontId="6" fillId="31" borderId="36" xfId="0" applyNumberFormat="1" applyFont="1" applyFill="1" applyBorder="1" applyAlignment="1" applyProtection="1">
      <alignment horizontal="center" vertical="center" wrapText="1"/>
      <protection hidden="1"/>
    </xf>
    <xf numFmtId="0" fontId="6" fillId="7" borderId="36" xfId="0" applyFont="1" applyFill="1" applyBorder="1" applyAlignment="1" applyProtection="1">
      <alignment horizontal="center" vertical="center" wrapText="1"/>
      <protection hidden="1"/>
    </xf>
    <xf numFmtId="0" fontId="6" fillId="0" borderId="47" xfId="0" applyFont="1" applyBorder="1" applyAlignment="1" applyProtection="1">
      <alignment horizontal="center" vertical="center"/>
      <protection hidden="1"/>
    </xf>
    <xf numFmtId="167" fontId="6" fillId="7" borderId="39" xfId="0" applyNumberFormat="1" applyFont="1" applyFill="1" applyBorder="1" applyAlignment="1" applyProtection="1">
      <alignment horizontal="center" vertical="center" wrapText="1"/>
      <protection hidden="1"/>
    </xf>
    <xf numFmtId="169" fontId="6" fillId="7" borderId="39" xfId="0" applyNumberFormat="1" applyFont="1" applyFill="1" applyBorder="1" applyAlignment="1" applyProtection="1">
      <alignment horizontal="center" vertical="center" wrapText="1"/>
      <protection hidden="1"/>
    </xf>
    <xf numFmtId="14" fontId="6" fillId="7" borderId="39" xfId="0" applyNumberFormat="1" applyFont="1" applyFill="1" applyBorder="1" applyAlignment="1" applyProtection="1">
      <alignment horizontal="center" vertical="center" wrapText="1"/>
      <protection hidden="1"/>
    </xf>
    <xf numFmtId="2" fontId="6" fillId="7" borderId="9" xfId="0" applyNumberFormat="1" applyFont="1" applyFill="1" applyBorder="1" applyAlignment="1" applyProtection="1">
      <alignment horizontal="center" vertical="center" wrapText="1"/>
      <protection hidden="1"/>
    </xf>
    <xf numFmtId="164" fontId="6" fillId="0" borderId="0" xfId="0" applyNumberFormat="1" applyFont="1" applyFill="1" applyBorder="1" applyAlignment="1" applyProtection="1">
      <alignment vertical="center"/>
      <protection hidden="1"/>
    </xf>
    <xf numFmtId="167" fontId="6" fillId="0" borderId="0" xfId="0" applyNumberFormat="1" applyFont="1" applyFill="1" applyBorder="1" applyAlignment="1" applyProtection="1">
      <alignment horizontal="center" vertical="center"/>
      <protection hidden="1"/>
    </xf>
    <xf numFmtId="164" fontId="6" fillId="0" borderId="0" xfId="0" applyNumberFormat="1" applyFont="1" applyFill="1" applyBorder="1" applyAlignment="1" applyProtection="1">
      <alignment horizontal="center" vertical="center"/>
      <protection hidden="1"/>
    </xf>
    <xf numFmtId="165" fontId="6" fillId="0" borderId="0" xfId="0" applyNumberFormat="1" applyFont="1" applyFill="1" applyBorder="1" applyAlignment="1" applyProtection="1">
      <alignment horizontal="center" vertical="center"/>
      <protection hidden="1"/>
    </xf>
    <xf numFmtId="0" fontId="6" fillId="0" borderId="5" xfId="0" applyFont="1" applyBorder="1" applyAlignment="1" applyProtection="1">
      <alignment vertical="center"/>
      <protection hidden="1"/>
    </xf>
    <xf numFmtId="0" fontId="6" fillId="0" borderId="5" xfId="0" applyFont="1" applyBorder="1" applyAlignment="1" applyProtection="1">
      <alignment horizontal="center" vertical="center"/>
      <protection hidden="1"/>
    </xf>
    <xf numFmtId="169" fontId="6" fillId="0" borderId="5" xfId="0" applyNumberFormat="1" applyFont="1" applyBorder="1" applyAlignment="1" applyProtection="1">
      <alignment horizontal="center" vertical="center"/>
      <protection hidden="1"/>
    </xf>
    <xf numFmtId="0" fontId="6" fillId="0" borderId="37" xfId="0" applyFont="1" applyBorder="1" applyProtection="1">
      <protection hidden="1"/>
    </xf>
    <xf numFmtId="0" fontId="6" fillId="0" borderId="0" xfId="0" applyFont="1" applyBorder="1" applyAlignment="1" applyProtection="1">
      <alignment vertical="center" textRotation="90"/>
      <protection hidden="1"/>
    </xf>
    <xf numFmtId="0" fontId="6" fillId="0" borderId="0" xfId="0" applyFont="1" applyBorder="1" applyAlignment="1" applyProtection="1">
      <alignment vertical="center"/>
      <protection hidden="1"/>
    </xf>
    <xf numFmtId="14" fontId="6" fillId="0" borderId="0" xfId="0" applyNumberFormat="1" applyFont="1" applyBorder="1" applyAlignment="1" applyProtection="1">
      <alignment horizontal="center" vertical="center"/>
      <protection hidden="1"/>
    </xf>
    <xf numFmtId="2" fontId="6" fillId="0" borderId="0" xfId="0" applyNumberFormat="1" applyFont="1" applyFill="1" applyBorder="1" applyAlignment="1" applyProtection="1">
      <alignment horizontal="center" vertical="center"/>
      <protection hidden="1"/>
    </xf>
    <xf numFmtId="169" fontId="7" fillId="5" borderId="19" xfId="0" applyNumberFormat="1" applyFont="1" applyFill="1" applyBorder="1" applyAlignment="1" applyProtection="1">
      <alignment horizontal="center" vertical="center" wrapText="1"/>
      <protection hidden="1"/>
    </xf>
    <xf numFmtId="166" fontId="6" fillId="0" borderId="0" xfId="0" applyNumberFormat="1" applyFont="1" applyFill="1" applyBorder="1" applyAlignment="1" applyProtection="1">
      <alignment horizontal="center" vertical="center"/>
      <protection hidden="1"/>
    </xf>
    <xf numFmtId="0" fontId="6" fillId="0" borderId="28" xfId="0" applyFont="1" applyBorder="1" applyProtection="1">
      <protection hidden="1"/>
    </xf>
    <xf numFmtId="0" fontId="6" fillId="0" borderId="3" xfId="0" applyFont="1" applyBorder="1" applyAlignment="1" applyProtection="1">
      <alignment horizontal="center" vertical="center"/>
      <protection hidden="1"/>
    </xf>
    <xf numFmtId="169" fontId="6" fillId="0" borderId="3" xfId="0" applyNumberFormat="1" applyFont="1" applyBorder="1" applyAlignment="1" applyProtection="1">
      <alignment horizontal="center" vertical="center"/>
      <protection hidden="1"/>
    </xf>
    <xf numFmtId="0" fontId="6" fillId="0" borderId="4" xfId="0" applyFont="1" applyBorder="1" applyProtection="1">
      <protection hidden="1"/>
    </xf>
    <xf numFmtId="0" fontId="6" fillId="2" borderId="0" xfId="0" applyFont="1" applyFill="1" applyBorder="1" applyAlignment="1" applyProtection="1">
      <alignment horizontal="center" vertical="center" wrapText="1"/>
      <protection hidden="1"/>
    </xf>
    <xf numFmtId="2" fontId="6" fillId="2" borderId="0" xfId="0" applyNumberFormat="1" applyFont="1" applyFill="1" applyBorder="1" applyAlignment="1" applyProtection="1">
      <alignment horizontal="center" vertical="center"/>
      <protection hidden="1"/>
    </xf>
    <xf numFmtId="169" fontId="6" fillId="2" borderId="0" xfId="0" applyNumberFormat="1" applyFont="1" applyFill="1" applyBorder="1" applyAlignment="1" applyProtection="1">
      <alignment horizontal="center" vertical="center"/>
      <protection hidden="1"/>
    </xf>
    <xf numFmtId="0" fontId="6" fillId="0" borderId="47" xfId="0" applyFont="1" applyBorder="1" applyProtection="1">
      <protection hidden="1"/>
    </xf>
    <xf numFmtId="164" fontId="6" fillId="0" borderId="0" xfId="0" applyNumberFormat="1" applyFont="1" applyFill="1" applyBorder="1" applyAlignment="1" applyProtection="1">
      <alignment horizontal="center"/>
      <protection hidden="1"/>
    </xf>
    <xf numFmtId="0" fontId="6" fillId="0" borderId="5" xfId="0" applyFont="1" applyBorder="1" applyAlignment="1" applyProtection="1">
      <alignment vertical="center" textRotation="90" wrapText="1"/>
      <protection hidden="1"/>
    </xf>
    <xf numFmtId="169" fontId="6" fillId="2" borderId="5" xfId="0" applyNumberFormat="1" applyFont="1" applyFill="1" applyBorder="1" applyAlignment="1" applyProtection="1">
      <alignment horizontal="center" vertical="center"/>
      <protection hidden="1"/>
    </xf>
    <xf numFmtId="14" fontId="6" fillId="2" borderId="5" xfId="0" applyNumberFormat="1" applyFont="1" applyFill="1" applyBorder="1" applyAlignment="1" applyProtection="1">
      <alignment horizontal="center" vertical="center"/>
      <protection hidden="1"/>
    </xf>
    <xf numFmtId="0" fontId="6" fillId="0" borderId="18" xfId="0" applyFont="1" applyBorder="1" applyAlignment="1" applyProtection="1">
      <alignment horizontal="center" vertical="center"/>
      <protection hidden="1"/>
    </xf>
    <xf numFmtId="0" fontId="6" fillId="0" borderId="21" xfId="0" applyFont="1" applyBorder="1" applyAlignment="1" applyProtection="1">
      <alignment horizontal="center" vertical="center"/>
      <protection hidden="1"/>
    </xf>
    <xf numFmtId="0" fontId="6" fillId="0" borderId="19" xfId="0" applyFont="1" applyBorder="1" applyAlignment="1" applyProtection="1">
      <alignment horizontal="center" vertical="center"/>
      <protection hidden="1"/>
    </xf>
    <xf numFmtId="1" fontId="6" fillId="7" borderId="9" xfId="0" applyNumberFormat="1" applyFont="1" applyFill="1" applyBorder="1" applyAlignment="1" applyProtection="1">
      <alignment vertical="center" wrapText="1"/>
      <protection hidden="1"/>
    </xf>
    <xf numFmtId="165" fontId="6" fillId="7" borderId="9" xfId="0" applyNumberFormat="1" applyFont="1" applyFill="1" applyBorder="1" applyAlignment="1" applyProtection="1">
      <alignment horizontal="center" vertical="center"/>
      <protection hidden="1"/>
    </xf>
    <xf numFmtId="165" fontId="7" fillId="7" borderId="9" xfId="0" applyNumberFormat="1" applyFont="1" applyFill="1" applyBorder="1" applyAlignment="1" applyProtection="1">
      <alignment horizontal="center" vertical="center"/>
      <protection hidden="1"/>
    </xf>
    <xf numFmtId="166" fontId="7" fillId="7" borderId="9" xfId="0" applyNumberFormat="1" applyFont="1" applyFill="1" applyBorder="1" applyAlignment="1" applyProtection="1">
      <alignment horizontal="center" vertical="center"/>
      <protection hidden="1"/>
    </xf>
    <xf numFmtId="1" fontId="6" fillId="7" borderId="39" xfId="0" applyNumberFormat="1" applyFont="1" applyFill="1" applyBorder="1" applyAlignment="1" applyProtection="1">
      <alignment vertical="center" wrapText="1"/>
      <protection hidden="1"/>
    </xf>
    <xf numFmtId="165" fontId="6" fillId="7" borderId="39" xfId="0" applyNumberFormat="1" applyFont="1" applyFill="1" applyBorder="1" applyAlignment="1" applyProtection="1">
      <alignment horizontal="center" vertical="center"/>
      <protection hidden="1"/>
    </xf>
    <xf numFmtId="1" fontId="6" fillId="7" borderId="42" xfId="0" applyNumberFormat="1" applyFont="1" applyFill="1" applyBorder="1" applyAlignment="1" applyProtection="1">
      <alignment vertical="center" wrapText="1"/>
      <protection hidden="1"/>
    </xf>
    <xf numFmtId="165" fontId="6" fillId="7" borderId="42" xfId="0" applyNumberFormat="1" applyFont="1" applyFill="1" applyBorder="1" applyAlignment="1" applyProtection="1">
      <alignment horizontal="center" vertical="center"/>
      <protection hidden="1"/>
    </xf>
    <xf numFmtId="166" fontId="6" fillId="7" borderId="42" xfId="0" applyNumberFormat="1" applyFont="1" applyFill="1" applyBorder="1" applyAlignment="1" applyProtection="1">
      <alignment horizontal="center" vertical="center"/>
      <protection hidden="1"/>
    </xf>
    <xf numFmtId="166" fontId="6" fillId="31" borderId="42" xfId="0" applyNumberFormat="1" applyFont="1" applyFill="1" applyBorder="1" applyAlignment="1" applyProtection="1">
      <alignment horizontal="center" vertical="center"/>
      <protection hidden="1"/>
    </xf>
    <xf numFmtId="0" fontId="7" fillId="30" borderId="1" xfId="0" applyFont="1" applyFill="1" applyBorder="1" applyAlignment="1" applyProtection="1">
      <alignment horizontal="center" vertical="center"/>
      <protection hidden="1"/>
    </xf>
    <xf numFmtId="0" fontId="7" fillId="30" borderId="6" xfId="0" applyFont="1" applyFill="1" applyBorder="1" applyAlignment="1" applyProtection="1">
      <alignment horizontal="center" vertical="center"/>
      <protection hidden="1"/>
    </xf>
    <xf numFmtId="1" fontId="6" fillId="0" borderId="0" xfId="0" applyNumberFormat="1" applyFont="1" applyFill="1" applyBorder="1" applyAlignment="1" applyProtection="1">
      <alignment vertical="center" wrapText="1"/>
      <protection hidden="1"/>
    </xf>
    <xf numFmtId="166" fontId="6" fillId="0" borderId="0" xfId="0" applyNumberFormat="1" applyFont="1" applyBorder="1" applyAlignment="1" applyProtection="1">
      <alignment horizontal="center" vertical="center"/>
      <protection hidden="1"/>
    </xf>
    <xf numFmtId="2" fontId="6" fillId="14" borderId="42" xfId="0" applyNumberFormat="1" applyFont="1" applyFill="1" applyBorder="1" applyAlignment="1" applyProtection="1">
      <alignment horizontal="center" vertical="center" wrapText="1"/>
      <protection hidden="1"/>
    </xf>
    <xf numFmtId="0" fontId="6" fillId="7" borderId="14" xfId="0" applyFont="1" applyFill="1" applyBorder="1" applyAlignment="1" applyProtection="1">
      <alignment horizontal="center" vertical="center" wrapText="1"/>
      <protection hidden="1"/>
    </xf>
    <xf numFmtId="0" fontId="6" fillId="7" borderId="55" xfId="0" applyFont="1" applyFill="1" applyBorder="1" applyAlignment="1" applyProtection="1">
      <alignment horizontal="center" vertical="center" wrapText="1"/>
      <protection hidden="1"/>
    </xf>
    <xf numFmtId="164" fontId="6" fillId="12" borderId="9" xfId="0" applyNumberFormat="1" applyFont="1" applyFill="1" applyBorder="1" applyAlignment="1" applyProtection="1">
      <alignment horizontal="center" vertical="center" wrapText="1"/>
      <protection hidden="1"/>
    </xf>
    <xf numFmtId="165" fontId="6" fillId="12" borderId="9" xfId="0" applyNumberFormat="1" applyFont="1" applyFill="1" applyBorder="1" applyAlignment="1" applyProtection="1">
      <alignment horizontal="center" vertical="center" wrapText="1"/>
      <protection hidden="1"/>
    </xf>
    <xf numFmtId="0" fontId="0" fillId="0" borderId="0" xfId="0" applyFont="1"/>
    <xf numFmtId="0" fontId="6" fillId="0" borderId="31" xfId="0" applyFont="1" applyFill="1" applyBorder="1" applyAlignment="1" applyProtection="1">
      <alignment horizontal="center" vertical="center"/>
      <protection hidden="1"/>
    </xf>
    <xf numFmtId="0" fontId="7" fillId="18" borderId="31" xfId="0" applyFont="1" applyFill="1" applyBorder="1" applyAlignment="1" applyProtection="1">
      <alignment horizontal="center" vertical="center"/>
      <protection hidden="1"/>
    </xf>
    <xf numFmtId="0" fontId="7" fillId="18" borderId="9" xfId="0" applyFont="1" applyFill="1" applyBorder="1" applyAlignment="1" applyProtection="1">
      <alignment horizontal="center" vertical="center"/>
      <protection hidden="1"/>
    </xf>
    <xf numFmtId="0" fontId="7" fillId="18" borderId="33" xfId="0" applyFont="1" applyFill="1" applyBorder="1" applyAlignment="1" applyProtection="1">
      <alignment horizontal="center" vertical="center"/>
      <protection hidden="1"/>
    </xf>
    <xf numFmtId="0" fontId="6" fillId="18" borderId="8" xfId="0" applyFont="1" applyFill="1" applyBorder="1" applyAlignment="1" applyProtection="1">
      <alignment horizontal="center" vertical="center"/>
      <protection hidden="1"/>
    </xf>
    <xf numFmtId="0" fontId="6" fillId="0" borderId="9" xfId="0" applyFont="1" applyFill="1" applyBorder="1" applyAlignment="1" applyProtection="1">
      <protection hidden="1"/>
    </xf>
    <xf numFmtId="0" fontId="6" fillId="0" borderId="33" xfId="0" applyFont="1" applyFill="1" applyBorder="1" applyAlignment="1" applyProtection="1">
      <alignment vertical="center"/>
      <protection hidden="1"/>
    </xf>
    <xf numFmtId="0" fontId="6" fillId="0" borderId="47" xfId="0" applyFont="1" applyFill="1" applyBorder="1" applyAlignment="1" applyProtection="1">
      <alignment horizontal="center" vertical="center"/>
      <protection hidden="1"/>
    </xf>
    <xf numFmtId="0" fontId="6" fillId="0" borderId="41" xfId="0" applyFont="1" applyFill="1" applyBorder="1" applyAlignment="1" applyProtection="1">
      <alignment horizontal="center" vertical="center"/>
      <protection hidden="1"/>
    </xf>
    <xf numFmtId="2" fontId="6" fillId="0" borderId="42" xfId="0" applyNumberFormat="1" applyFont="1" applyFill="1" applyBorder="1" applyAlignment="1" applyProtection="1">
      <alignment vertical="center"/>
      <protection hidden="1"/>
    </xf>
    <xf numFmtId="0" fontId="6" fillId="0" borderId="42" xfId="0" applyFont="1" applyFill="1" applyBorder="1" applyAlignment="1" applyProtection="1">
      <alignment vertical="center"/>
      <protection hidden="1"/>
    </xf>
    <xf numFmtId="0" fontId="6" fillId="0" borderId="36" xfId="0" applyFont="1" applyFill="1" applyBorder="1" applyAlignment="1" applyProtection="1">
      <alignment vertical="center"/>
      <protection hidden="1"/>
    </xf>
    <xf numFmtId="0" fontId="6" fillId="0" borderId="37" xfId="0" applyFont="1" applyFill="1" applyBorder="1" applyAlignment="1" applyProtection="1">
      <alignment horizontal="center" vertical="center"/>
      <protection hidden="1"/>
    </xf>
    <xf numFmtId="0" fontId="6" fillId="0" borderId="0" xfId="0" applyFont="1" applyAlignment="1" applyProtection="1">
      <alignment vertical="center" wrapText="1"/>
      <protection hidden="1"/>
    </xf>
    <xf numFmtId="166" fontId="8" fillId="0" borderId="0" xfId="0" applyNumberFormat="1" applyFont="1" applyAlignment="1" applyProtection="1">
      <alignment vertical="center" wrapText="1"/>
      <protection hidden="1"/>
    </xf>
    <xf numFmtId="0" fontId="6" fillId="0" borderId="9" xfId="0" applyFont="1" applyFill="1" applyBorder="1" applyAlignment="1">
      <alignment horizontal="center" vertical="center" wrapText="1"/>
    </xf>
    <xf numFmtId="0" fontId="6" fillId="0" borderId="33" xfId="0" applyFont="1" applyFill="1" applyBorder="1" applyAlignment="1">
      <alignment horizontal="center" vertical="center" wrapText="1"/>
    </xf>
    <xf numFmtId="167" fontId="6" fillId="31" borderId="9" xfId="0" applyNumberFormat="1" applyFont="1" applyFill="1" applyBorder="1" applyAlignment="1" applyProtection="1">
      <alignment horizontal="center" vertical="center" wrapText="1"/>
      <protection locked="0"/>
    </xf>
    <xf numFmtId="167" fontId="6" fillId="31" borderId="33" xfId="0" applyNumberFormat="1" applyFont="1" applyFill="1" applyBorder="1" applyAlignment="1" applyProtection="1">
      <alignment horizontal="center" vertical="center" wrapText="1"/>
      <protection locked="0"/>
    </xf>
    <xf numFmtId="0" fontId="6" fillId="13" borderId="9" xfId="0" applyFont="1" applyFill="1" applyBorder="1" applyAlignment="1">
      <alignment horizontal="center" vertical="center" wrapText="1"/>
    </xf>
    <xf numFmtId="0" fontId="6" fillId="0" borderId="39" xfId="0" applyFont="1" applyFill="1" applyBorder="1" applyAlignment="1">
      <alignment horizontal="center" vertical="center"/>
    </xf>
    <xf numFmtId="2" fontId="6" fillId="27" borderId="40" xfId="9" applyFont="1" applyBorder="1" applyAlignment="1">
      <alignment horizontal="center" vertical="center"/>
      <protection locked="0"/>
    </xf>
    <xf numFmtId="0" fontId="35" fillId="0" borderId="31" xfId="0" applyFont="1" applyFill="1" applyBorder="1" applyAlignment="1">
      <alignment horizontal="center" vertical="center" wrapText="1"/>
    </xf>
    <xf numFmtId="0" fontId="6" fillId="13" borderId="42" xfId="0" applyFont="1" applyFill="1" applyBorder="1" applyAlignment="1">
      <alignment horizontal="center" vertical="center" wrapText="1"/>
    </xf>
    <xf numFmtId="167" fontId="6" fillId="15" borderId="9" xfId="0" applyNumberFormat="1" applyFont="1" applyFill="1" applyBorder="1" applyAlignment="1">
      <alignment horizontal="center" vertical="center"/>
    </xf>
    <xf numFmtId="167" fontId="6" fillId="15" borderId="9" xfId="0" applyNumberFormat="1" applyFont="1" applyFill="1" applyBorder="1" applyAlignment="1">
      <alignment horizontal="center" vertical="center" wrapText="1"/>
    </xf>
    <xf numFmtId="167" fontId="6" fillId="15" borderId="33" xfId="0" applyNumberFormat="1" applyFont="1" applyFill="1" applyBorder="1" applyAlignment="1">
      <alignment horizontal="center" vertical="center"/>
    </xf>
    <xf numFmtId="167" fontId="6" fillId="15" borderId="42" xfId="0" applyNumberFormat="1" applyFont="1" applyFill="1" applyBorder="1" applyAlignment="1">
      <alignment horizontal="center" vertical="center"/>
    </xf>
    <xf numFmtId="167" fontId="6" fillId="15" borderId="42" xfId="0" applyNumberFormat="1" applyFont="1" applyFill="1" applyBorder="1" applyAlignment="1">
      <alignment horizontal="center" vertical="center" wrapText="1"/>
    </xf>
    <xf numFmtId="167" fontId="6" fillId="15" borderId="36" xfId="0" applyNumberFormat="1" applyFont="1" applyFill="1" applyBorder="1" applyAlignment="1">
      <alignment horizontal="center" vertical="center"/>
    </xf>
    <xf numFmtId="0" fontId="5" fillId="0" borderId="0" xfId="0" applyFont="1" applyFill="1" applyBorder="1" applyAlignment="1" applyProtection="1">
      <alignment horizontal="center" vertical="center"/>
      <protection hidden="1"/>
    </xf>
    <xf numFmtId="0" fontId="47" fillId="18" borderId="6" xfId="0" applyFont="1" applyFill="1" applyBorder="1" applyAlignment="1">
      <alignment horizontal="right" vertical="center"/>
    </xf>
    <xf numFmtId="2" fontId="50" fillId="18" borderId="1" xfId="0" applyNumberFormat="1" applyFont="1" applyFill="1" applyBorder="1" applyAlignment="1">
      <alignment horizontal="center"/>
    </xf>
    <xf numFmtId="0" fontId="0" fillId="18" borderId="1" xfId="0" applyFont="1" applyFill="1" applyBorder="1"/>
    <xf numFmtId="0" fontId="14" fillId="17" borderId="18" xfId="0" applyFont="1" applyFill="1" applyBorder="1" applyAlignment="1" applyProtection="1">
      <alignment horizontal="center" vertical="center" wrapText="1"/>
      <protection hidden="1"/>
    </xf>
    <xf numFmtId="0" fontId="14" fillId="17" borderId="21" xfId="0" applyFont="1" applyFill="1" applyBorder="1" applyAlignment="1" applyProtection="1">
      <alignment horizontal="center" vertical="center"/>
      <protection hidden="1"/>
    </xf>
    <xf numFmtId="0" fontId="14" fillId="17" borderId="21" xfId="0" applyFont="1" applyFill="1" applyBorder="1" applyAlignment="1" applyProtection="1">
      <alignment horizontal="center" vertical="center" wrapText="1"/>
      <protection hidden="1"/>
    </xf>
    <xf numFmtId="0" fontId="14" fillId="17" borderId="19" xfId="0" applyFont="1" applyFill="1" applyBorder="1" applyAlignment="1" applyProtection="1">
      <alignment horizontal="center" vertical="center" wrapText="1"/>
      <protection hidden="1"/>
    </xf>
    <xf numFmtId="0" fontId="14" fillId="18" borderId="18" xfId="0" applyFont="1" applyFill="1" applyBorder="1" applyAlignment="1" applyProtection="1">
      <alignment horizontal="center" vertical="center" wrapText="1"/>
      <protection hidden="1"/>
    </xf>
    <xf numFmtId="0" fontId="14" fillId="18" borderId="21" xfId="0" applyFont="1" applyFill="1" applyBorder="1" applyAlignment="1" applyProtection="1">
      <alignment horizontal="center" vertical="center" wrapText="1"/>
      <protection hidden="1"/>
    </xf>
    <xf numFmtId="169" fontId="14" fillId="18" borderId="21" xfId="0" applyNumberFormat="1" applyFont="1" applyFill="1" applyBorder="1" applyAlignment="1" applyProtection="1">
      <alignment horizontal="center" vertical="center" wrapText="1"/>
      <protection hidden="1"/>
    </xf>
    <xf numFmtId="0" fontId="14" fillId="18" borderId="27" xfId="0" applyFont="1" applyFill="1" applyBorder="1" applyAlignment="1" applyProtection="1">
      <alignment horizontal="center" vertical="center" wrapText="1"/>
      <protection hidden="1"/>
    </xf>
    <xf numFmtId="0" fontId="14" fillId="18" borderId="19" xfId="0" applyFont="1" applyFill="1" applyBorder="1" applyAlignment="1" applyProtection="1">
      <alignment horizontal="center" vertical="center" wrapText="1"/>
      <protection hidden="1"/>
    </xf>
    <xf numFmtId="0" fontId="6" fillId="0" borderId="0" xfId="0" applyFont="1" applyFill="1" applyAlignment="1" applyProtection="1">
      <alignment vertical="center" wrapText="1"/>
      <protection hidden="1"/>
    </xf>
    <xf numFmtId="0" fontId="8" fillId="0" borderId="0" xfId="0" applyFont="1" applyFill="1" applyAlignment="1" applyProtection="1">
      <alignment horizontal="center" vertical="center" wrapText="1"/>
      <protection hidden="1"/>
    </xf>
    <xf numFmtId="2" fontId="8" fillId="0" borderId="0" xfId="0" applyNumberFormat="1" applyFont="1" applyFill="1" applyAlignment="1" applyProtection="1">
      <alignment vertical="center" wrapText="1"/>
      <protection hidden="1"/>
    </xf>
    <xf numFmtId="166" fontId="0" fillId="0" borderId="0" xfId="0" applyNumberFormat="1" applyFont="1"/>
    <xf numFmtId="0" fontId="6" fillId="7" borderId="9" xfId="0" applyFont="1" applyFill="1" applyBorder="1" applyAlignment="1" applyProtection="1">
      <alignment horizontal="center" vertical="center" wrapText="1"/>
      <protection hidden="1"/>
    </xf>
    <xf numFmtId="169" fontId="6" fillId="14" borderId="42" xfId="0" applyNumberFormat="1" applyFont="1" applyFill="1" applyBorder="1" applyAlignment="1" applyProtection="1">
      <alignment horizontal="center" vertical="center" wrapText="1"/>
      <protection hidden="1"/>
    </xf>
    <xf numFmtId="0" fontId="6" fillId="0" borderId="0" xfId="0" applyFont="1" applyAlignment="1" applyProtection="1">
      <alignment horizontal="center" vertical="center"/>
      <protection hidden="1"/>
    </xf>
    <xf numFmtId="0" fontId="6" fillId="7" borderId="18" xfId="0" applyFont="1" applyFill="1" applyBorder="1" applyAlignment="1" applyProtection="1">
      <alignment horizontal="center" vertical="center"/>
      <protection hidden="1"/>
    </xf>
    <xf numFmtId="0" fontId="4" fillId="7" borderId="21" xfId="0" applyFont="1" applyFill="1" applyBorder="1" applyAlignment="1" applyProtection="1">
      <alignment horizontal="center" vertical="center" wrapText="1"/>
      <protection hidden="1"/>
    </xf>
    <xf numFmtId="0" fontId="6" fillId="7" borderId="21" xfId="0" applyFont="1" applyFill="1" applyBorder="1" applyAlignment="1" applyProtection="1">
      <alignment horizontal="center" vertical="center" wrapText="1"/>
      <protection hidden="1"/>
    </xf>
    <xf numFmtId="169" fontId="6" fillId="7" borderId="27" xfId="0" applyNumberFormat="1" applyFont="1" applyFill="1" applyBorder="1" applyAlignment="1" applyProtection="1">
      <alignment horizontal="center" vertical="center" wrapText="1"/>
      <protection hidden="1"/>
    </xf>
    <xf numFmtId="14" fontId="4" fillId="7" borderId="1" xfId="0" applyNumberFormat="1" applyFont="1" applyFill="1" applyBorder="1" applyAlignment="1" applyProtection="1">
      <alignment horizontal="center" vertical="center" wrapText="1"/>
      <protection hidden="1"/>
    </xf>
    <xf numFmtId="0" fontId="6" fillId="21" borderId="69" xfId="0" applyFont="1" applyFill="1" applyBorder="1" applyAlignment="1" applyProtection="1">
      <alignment horizontal="center" vertical="center"/>
      <protection hidden="1"/>
    </xf>
    <xf numFmtId="169" fontId="6" fillId="31" borderId="39" xfId="0" applyNumberFormat="1" applyFont="1" applyFill="1" applyBorder="1" applyAlignment="1" applyProtection="1">
      <alignment horizontal="center" vertical="center"/>
      <protection hidden="1"/>
    </xf>
    <xf numFmtId="169" fontId="6" fillId="31" borderId="9" xfId="0" applyNumberFormat="1" applyFont="1" applyFill="1" applyBorder="1" applyAlignment="1" applyProtection="1">
      <alignment horizontal="center" vertical="center"/>
      <protection hidden="1"/>
    </xf>
    <xf numFmtId="169" fontId="6" fillId="31" borderId="42" xfId="0" applyNumberFormat="1" applyFont="1" applyFill="1" applyBorder="1" applyAlignment="1" applyProtection="1">
      <alignment horizontal="center" vertical="center"/>
      <protection hidden="1"/>
    </xf>
    <xf numFmtId="0" fontId="23" fillId="14" borderId="31" xfId="0" applyFont="1" applyFill="1" applyBorder="1" applyAlignment="1">
      <alignment horizontal="center" vertical="center"/>
    </xf>
    <xf numFmtId="0" fontId="23" fillId="14" borderId="9" xfId="0" applyFont="1" applyFill="1" applyBorder="1" applyAlignment="1">
      <alignment horizontal="center" vertical="center"/>
    </xf>
    <xf numFmtId="0" fontId="53" fillId="14" borderId="33" xfId="0" applyFont="1" applyFill="1" applyBorder="1" applyAlignment="1">
      <alignment horizontal="center" vertical="center" wrapText="1"/>
    </xf>
    <xf numFmtId="0" fontId="23" fillId="14" borderId="41" xfId="0" applyFont="1" applyFill="1" applyBorder="1" applyAlignment="1">
      <alignment horizontal="center" vertical="center"/>
    </xf>
    <xf numFmtId="0" fontId="23" fillId="14" borderId="42" xfId="0" applyFont="1" applyFill="1" applyBorder="1" applyAlignment="1">
      <alignment horizontal="center" vertical="center"/>
    </xf>
    <xf numFmtId="0" fontId="53" fillId="14" borderId="36" xfId="0" applyFont="1" applyFill="1" applyBorder="1" applyAlignment="1">
      <alignment horizontal="center" vertical="center" wrapText="1"/>
    </xf>
    <xf numFmtId="171" fontId="6" fillId="7" borderId="21" xfId="0" applyNumberFormat="1" applyFont="1" applyFill="1" applyBorder="1" applyAlignment="1" applyProtection="1">
      <alignment horizontal="center" vertical="center" wrapText="1"/>
      <protection hidden="1"/>
    </xf>
    <xf numFmtId="11" fontId="6" fillId="7" borderId="21" xfId="0" applyNumberFormat="1" applyFont="1" applyFill="1" applyBorder="1" applyAlignment="1" applyProtection="1">
      <alignment horizontal="center" vertical="center" wrapText="1"/>
      <protection hidden="1"/>
    </xf>
    <xf numFmtId="0" fontId="6" fillId="31" borderId="38" xfId="0" applyFont="1" applyFill="1" applyBorder="1" applyAlignment="1" applyProtection="1">
      <alignment horizontal="center" vertical="center"/>
      <protection hidden="1"/>
    </xf>
    <xf numFmtId="167" fontId="6" fillId="31" borderId="39" xfId="0" applyNumberFormat="1" applyFont="1" applyFill="1" applyBorder="1" applyAlignment="1" applyProtection="1">
      <alignment horizontal="center" vertical="center"/>
      <protection hidden="1"/>
    </xf>
    <xf numFmtId="0" fontId="6" fillId="31" borderId="31" xfId="0" applyFont="1" applyFill="1" applyBorder="1" applyAlignment="1" applyProtection="1">
      <alignment horizontal="center" vertical="center"/>
      <protection hidden="1"/>
    </xf>
    <xf numFmtId="0" fontId="6" fillId="31" borderId="17" xfId="0" applyFont="1" applyFill="1" applyBorder="1" applyAlignment="1" applyProtection="1">
      <alignment horizontal="center" vertical="center"/>
      <protection hidden="1"/>
    </xf>
    <xf numFmtId="167" fontId="6" fillId="31" borderId="17" xfId="0" applyNumberFormat="1" applyFont="1" applyFill="1" applyBorder="1" applyAlignment="1" applyProtection="1">
      <alignment horizontal="center" vertical="center"/>
      <protection hidden="1"/>
    </xf>
    <xf numFmtId="0" fontId="6" fillId="31" borderId="33" xfId="0" applyFont="1" applyFill="1" applyBorder="1" applyAlignment="1" applyProtection="1">
      <alignment horizontal="center" vertical="center"/>
      <protection hidden="1"/>
    </xf>
    <xf numFmtId="167" fontId="6" fillId="31" borderId="41" xfId="0" applyNumberFormat="1" applyFont="1" applyFill="1" applyBorder="1" applyAlignment="1" applyProtection="1">
      <alignment horizontal="center" vertical="center"/>
      <protection hidden="1"/>
    </xf>
    <xf numFmtId="0" fontId="6" fillId="31" borderId="51" xfId="0" applyFont="1" applyFill="1" applyBorder="1" applyAlignment="1" applyProtection="1">
      <alignment horizontal="center" vertical="center"/>
      <protection hidden="1"/>
    </xf>
    <xf numFmtId="167" fontId="6" fillId="31" borderId="51" xfId="0" applyNumberFormat="1" applyFont="1" applyFill="1" applyBorder="1" applyAlignment="1" applyProtection="1">
      <alignment horizontal="center" vertical="center"/>
      <protection hidden="1"/>
    </xf>
    <xf numFmtId="0" fontId="6" fillId="31" borderId="36" xfId="0" applyFont="1" applyFill="1" applyBorder="1" applyAlignment="1" applyProtection="1">
      <alignment horizontal="center" vertical="center"/>
      <protection hidden="1"/>
    </xf>
    <xf numFmtId="0" fontId="6" fillId="31" borderId="40" xfId="0" applyFont="1" applyFill="1" applyBorder="1" applyAlignment="1" applyProtection="1">
      <alignment horizontal="center" vertical="center"/>
      <protection hidden="1"/>
    </xf>
    <xf numFmtId="167" fontId="6" fillId="31" borderId="31" xfId="0" applyNumberFormat="1" applyFont="1" applyFill="1" applyBorder="1" applyAlignment="1" applyProtection="1">
      <alignment horizontal="center" vertical="center"/>
      <protection hidden="1"/>
    </xf>
    <xf numFmtId="167" fontId="6" fillId="31" borderId="9" xfId="0" applyNumberFormat="1" applyFont="1" applyFill="1" applyBorder="1" applyAlignment="1" applyProtection="1">
      <alignment horizontal="center" vertical="center"/>
      <protection hidden="1"/>
    </xf>
    <xf numFmtId="0" fontId="6" fillId="31" borderId="41" xfId="0" applyFont="1" applyFill="1" applyBorder="1" applyAlignment="1" applyProtection="1">
      <alignment horizontal="center" vertical="center"/>
      <protection hidden="1"/>
    </xf>
    <xf numFmtId="167" fontId="6" fillId="31" borderId="42" xfId="0" applyNumberFormat="1" applyFont="1" applyFill="1" applyBorder="1" applyAlignment="1" applyProtection="1">
      <alignment horizontal="center" vertical="center"/>
      <protection hidden="1"/>
    </xf>
    <xf numFmtId="166" fontId="6" fillId="31" borderId="40" xfId="0" applyNumberFormat="1" applyFont="1" applyFill="1" applyBorder="1" applyAlignment="1" applyProtection="1">
      <alignment horizontal="center" vertical="center"/>
      <protection hidden="1"/>
    </xf>
    <xf numFmtId="167" fontId="6" fillId="31" borderId="38" xfId="0" applyNumberFormat="1" applyFont="1" applyFill="1" applyBorder="1" applyAlignment="1" applyProtection="1">
      <alignment horizontal="center" vertical="center"/>
      <protection hidden="1"/>
    </xf>
    <xf numFmtId="0" fontId="6" fillId="31" borderId="30" xfId="0" applyFont="1" applyFill="1" applyBorder="1" applyAlignment="1" applyProtection="1">
      <alignment horizontal="center" vertical="center"/>
      <protection hidden="1"/>
    </xf>
    <xf numFmtId="0" fontId="6" fillId="31" borderId="11" xfId="0" applyFont="1" applyFill="1" applyBorder="1" applyAlignment="1" applyProtection="1">
      <alignment horizontal="center" vertical="center"/>
      <protection hidden="1"/>
    </xf>
    <xf numFmtId="0" fontId="6" fillId="31" borderId="53" xfId="0" applyFont="1" applyFill="1" applyBorder="1" applyAlignment="1" applyProtection="1">
      <alignment horizontal="center" vertical="center"/>
      <protection hidden="1"/>
    </xf>
    <xf numFmtId="175" fontId="6" fillId="31" borderId="39" xfId="0" applyNumberFormat="1" applyFont="1" applyFill="1" applyBorder="1" applyAlignment="1" applyProtection="1">
      <alignment horizontal="center" vertical="center" wrapText="1"/>
      <protection hidden="1"/>
    </xf>
    <xf numFmtId="175" fontId="6" fillId="31" borderId="30" xfId="0" applyNumberFormat="1" applyFont="1" applyFill="1" applyBorder="1" applyAlignment="1" applyProtection="1">
      <alignment horizontal="center" vertical="center" wrapText="1"/>
      <protection hidden="1"/>
    </xf>
    <xf numFmtId="175" fontId="6" fillId="31" borderId="9" xfId="0" applyNumberFormat="1" applyFont="1" applyFill="1" applyBorder="1" applyAlignment="1" applyProtection="1">
      <alignment horizontal="center" vertical="center" wrapText="1"/>
      <protection hidden="1"/>
    </xf>
    <xf numFmtId="175" fontId="6" fillId="31" borderId="11" xfId="0" applyNumberFormat="1" applyFont="1" applyFill="1" applyBorder="1" applyAlignment="1" applyProtection="1">
      <alignment horizontal="center" vertical="center" wrapText="1"/>
      <protection hidden="1"/>
    </xf>
    <xf numFmtId="175" fontId="6" fillId="31" borderId="42" xfId="0" applyNumberFormat="1" applyFont="1" applyFill="1" applyBorder="1" applyAlignment="1" applyProtection="1">
      <alignment horizontal="center" vertical="center" wrapText="1"/>
      <protection hidden="1"/>
    </xf>
    <xf numFmtId="175" fontId="6" fillId="31" borderId="53" xfId="0" applyNumberFormat="1" applyFont="1" applyFill="1" applyBorder="1" applyAlignment="1" applyProtection="1">
      <alignment horizontal="center" vertical="center" wrapText="1"/>
      <protection hidden="1"/>
    </xf>
    <xf numFmtId="166" fontId="6" fillId="31" borderId="38" xfId="0" applyNumberFormat="1" applyFont="1" applyFill="1" applyBorder="1" applyAlignment="1" applyProtection="1">
      <alignment horizontal="center" vertical="center"/>
      <protection hidden="1"/>
    </xf>
    <xf numFmtId="4" fontId="6" fillId="31" borderId="39" xfId="0" applyNumberFormat="1" applyFont="1" applyFill="1" applyBorder="1" applyAlignment="1" applyProtection="1">
      <alignment horizontal="center" vertical="center" wrapText="1"/>
      <protection hidden="1"/>
    </xf>
    <xf numFmtId="176" fontId="6" fillId="31" borderId="30" xfId="0" applyNumberFormat="1" applyFont="1" applyFill="1" applyBorder="1" applyAlignment="1" applyProtection="1">
      <alignment horizontal="center" vertical="center" wrapText="1"/>
      <protection hidden="1"/>
    </xf>
    <xf numFmtId="166" fontId="6" fillId="31" borderId="31" xfId="0" applyNumberFormat="1" applyFont="1" applyFill="1" applyBorder="1" applyAlignment="1" applyProtection="1">
      <alignment horizontal="center" vertical="center"/>
      <protection hidden="1"/>
    </xf>
    <xf numFmtId="4" fontId="6" fillId="31" borderId="9" xfId="0" applyNumberFormat="1" applyFont="1" applyFill="1" applyBorder="1" applyAlignment="1" applyProtection="1">
      <alignment horizontal="center" vertical="center" wrapText="1"/>
      <protection hidden="1"/>
    </xf>
    <xf numFmtId="0" fontId="45" fillId="31" borderId="11" xfId="0" applyFont="1" applyFill="1" applyBorder="1" applyAlignment="1" applyProtection="1">
      <alignment horizontal="center" vertical="center" wrapText="1"/>
      <protection hidden="1"/>
    </xf>
    <xf numFmtId="166" fontId="6" fillId="31" borderId="41" xfId="0" applyNumberFormat="1" applyFont="1" applyFill="1" applyBorder="1" applyAlignment="1" applyProtection="1">
      <alignment horizontal="center" vertical="center"/>
      <protection hidden="1"/>
    </xf>
    <xf numFmtId="4" fontId="6" fillId="31" borderId="42" xfId="0" applyNumberFormat="1" applyFont="1" applyFill="1" applyBorder="1" applyAlignment="1" applyProtection="1">
      <alignment horizontal="center" vertical="center" wrapText="1"/>
      <protection hidden="1"/>
    </xf>
    <xf numFmtId="0" fontId="45" fillId="31" borderId="53" xfId="0" applyFont="1" applyFill="1" applyBorder="1" applyAlignment="1" applyProtection="1">
      <alignment horizontal="center" vertical="center" wrapText="1"/>
      <protection hidden="1"/>
    </xf>
    <xf numFmtId="167" fontId="23" fillId="31" borderId="29" xfId="0" applyNumberFormat="1" applyFont="1" applyFill="1" applyBorder="1" applyAlignment="1">
      <alignment horizontal="center" vertical="center"/>
    </xf>
    <xf numFmtId="0" fontId="23" fillId="31" borderId="17" xfId="0" applyFont="1" applyFill="1" applyBorder="1" applyAlignment="1">
      <alignment horizontal="center" vertical="center"/>
    </xf>
    <xf numFmtId="2" fontId="23" fillId="31" borderId="17" xfId="0" applyNumberFormat="1" applyFont="1" applyFill="1" applyBorder="1" applyAlignment="1">
      <alignment horizontal="center" vertical="center"/>
    </xf>
    <xf numFmtId="0" fontId="23" fillId="31" borderId="35" xfId="0" applyFont="1" applyFill="1" applyBorder="1" applyAlignment="1">
      <alignment horizontal="center" vertical="center" wrapText="1"/>
    </xf>
    <xf numFmtId="0" fontId="23" fillId="31" borderId="31" xfId="0" applyFont="1" applyFill="1" applyBorder="1" applyAlignment="1">
      <alignment horizontal="center" vertical="center"/>
    </xf>
    <xf numFmtId="0" fontId="23" fillId="31" borderId="9" xfId="0" applyFont="1" applyFill="1" applyBorder="1" applyAlignment="1">
      <alignment horizontal="center" vertical="center"/>
    </xf>
    <xf numFmtId="166" fontId="23" fillId="31" borderId="9" xfId="0" applyNumberFormat="1" applyFont="1" applyFill="1" applyBorder="1" applyAlignment="1">
      <alignment horizontal="center" vertical="center"/>
    </xf>
    <xf numFmtId="0" fontId="53" fillId="31" borderId="33" xfId="0" applyFont="1" applyFill="1" applyBorder="1" applyAlignment="1">
      <alignment horizontal="center" vertical="center" wrapText="1"/>
    </xf>
    <xf numFmtId="0" fontId="23" fillId="31" borderId="41" xfId="0" applyFont="1" applyFill="1" applyBorder="1" applyAlignment="1">
      <alignment horizontal="center" vertical="center"/>
    </xf>
    <xf numFmtId="0" fontId="23" fillId="31" borderId="42" xfId="0" applyFont="1" applyFill="1" applyBorder="1" applyAlignment="1">
      <alignment horizontal="center" vertical="center"/>
    </xf>
    <xf numFmtId="2" fontId="23" fillId="31" borderId="42" xfId="0" applyNumberFormat="1" applyFont="1" applyFill="1" applyBorder="1" applyAlignment="1">
      <alignment horizontal="center" vertical="center"/>
    </xf>
    <xf numFmtId="0" fontId="53" fillId="31" borderId="36" xfId="0" applyFont="1" applyFill="1" applyBorder="1" applyAlignment="1">
      <alignment horizontal="center" vertical="center" wrapText="1"/>
    </xf>
    <xf numFmtId="167" fontId="23" fillId="14" borderId="38" xfId="0" applyNumberFormat="1" applyFont="1" applyFill="1" applyBorder="1" applyAlignment="1">
      <alignment horizontal="center" vertical="center"/>
    </xf>
    <xf numFmtId="0" fontId="23" fillId="14" borderId="39" xfId="0" applyFont="1" applyFill="1" applyBorder="1" applyAlignment="1">
      <alignment horizontal="center" vertical="center"/>
    </xf>
    <xf numFmtId="167" fontId="23" fillId="14" borderId="39" xfId="0" applyNumberFormat="1" applyFont="1" applyFill="1" applyBorder="1" applyAlignment="1">
      <alignment horizontal="center" vertical="center"/>
    </xf>
    <xf numFmtId="0" fontId="23" fillId="14" borderId="40" xfId="0" applyFont="1" applyFill="1" applyBorder="1" applyAlignment="1">
      <alignment horizontal="center" vertical="center" wrapText="1"/>
    </xf>
    <xf numFmtId="167" fontId="23" fillId="14" borderId="9" xfId="0" applyNumberFormat="1" applyFont="1" applyFill="1" applyBorder="1" applyAlignment="1">
      <alignment horizontal="center" vertical="center"/>
    </xf>
    <xf numFmtId="0" fontId="23" fillId="14" borderId="51" xfId="0" applyFont="1" applyFill="1" applyBorder="1" applyAlignment="1">
      <alignment horizontal="center" vertical="center"/>
    </xf>
    <xf numFmtId="0" fontId="23" fillId="14" borderId="38" xfId="0" applyFont="1" applyFill="1" applyBorder="1" applyAlignment="1">
      <alignment horizontal="center" vertical="center"/>
    </xf>
    <xf numFmtId="167" fontId="6" fillId="31" borderId="30" xfId="0" applyNumberFormat="1" applyFont="1" applyFill="1" applyBorder="1" applyAlignment="1" applyProtection="1">
      <alignment horizontal="center" vertical="center" wrapText="1"/>
      <protection hidden="1"/>
    </xf>
    <xf numFmtId="167" fontId="6" fillId="31" borderId="11" xfId="0" applyNumberFormat="1" applyFont="1" applyFill="1" applyBorder="1" applyAlignment="1" applyProtection="1">
      <alignment horizontal="center" vertical="center" wrapText="1"/>
      <protection hidden="1"/>
    </xf>
    <xf numFmtId="167" fontId="45" fillId="31" borderId="53" xfId="0" applyNumberFormat="1" applyFont="1" applyFill="1" applyBorder="1" applyAlignment="1" applyProtection="1">
      <alignment horizontal="center" vertical="center" wrapText="1"/>
      <protection hidden="1"/>
    </xf>
    <xf numFmtId="0" fontId="6" fillId="31" borderId="40" xfId="0" applyFont="1" applyFill="1" applyBorder="1" applyAlignment="1" applyProtection="1">
      <alignment horizontal="center" vertical="center" wrapText="1"/>
      <protection hidden="1"/>
    </xf>
    <xf numFmtId="0" fontId="45" fillId="31" borderId="33" xfId="0" applyFont="1" applyFill="1" applyBorder="1" applyAlignment="1" applyProtection="1">
      <alignment horizontal="center" vertical="center" wrapText="1"/>
      <protection hidden="1"/>
    </xf>
    <xf numFmtId="0" fontId="45" fillId="31" borderId="36" xfId="0" applyFont="1" applyFill="1" applyBorder="1" applyAlignment="1" applyProtection="1">
      <alignment horizontal="center" vertical="center" wrapText="1"/>
      <protection hidden="1"/>
    </xf>
    <xf numFmtId="0" fontId="6" fillId="31" borderId="30" xfId="0" applyFont="1" applyFill="1" applyBorder="1" applyAlignment="1" applyProtection="1">
      <alignment horizontal="center" vertical="center" wrapText="1"/>
      <protection hidden="1"/>
    </xf>
    <xf numFmtId="2" fontId="6" fillId="31" borderId="9" xfId="0" applyNumberFormat="1" applyFont="1" applyFill="1" applyBorder="1" applyAlignment="1" applyProtection="1">
      <alignment horizontal="center" vertical="center"/>
      <protection hidden="1"/>
    </xf>
    <xf numFmtId="167" fontId="6" fillId="31" borderId="40" xfId="0" applyNumberFormat="1" applyFont="1" applyFill="1" applyBorder="1" applyAlignment="1" applyProtection="1">
      <alignment horizontal="center" vertical="center" wrapText="1"/>
      <protection hidden="1"/>
    </xf>
    <xf numFmtId="167" fontId="6" fillId="31" borderId="33" xfId="0" applyNumberFormat="1" applyFont="1" applyFill="1" applyBorder="1" applyAlignment="1" applyProtection="1">
      <alignment horizontal="center" vertical="center" wrapText="1"/>
      <protection hidden="1"/>
    </xf>
    <xf numFmtId="167" fontId="6" fillId="31" borderId="36" xfId="0" applyNumberFormat="1" applyFont="1" applyFill="1" applyBorder="1" applyAlignment="1" applyProtection="1">
      <alignment horizontal="center" vertical="center" wrapText="1"/>
      <protection hidden="1"/>
    </xf>
    <xf numFmtId="0" fontId="6" fillId="31" borderId="33" xfId="0" applyFont="1" applyFill="1" applyBorder="1" applyAlignment="1" applyProtection="1">
      <alignment horizontal="center" vertical="center" wrapText="1"/>
      <protection hidden="1"/>
    </xf>
    <xf numFmtId="0" fontId="6" fillId="31" borderId="36" xfId="0" applyFont="1" applyFill="1" applyBorder="1" applyAlignment="1" applyProtection="1">
      <alignment horizontal="center" vertical="center" wrapText="1"/>
      <protection hidden="1"/>
    </xf>
    <xf numFmtId="166" fontId="6" fillId="31" borderId="29" xfId="0" applyNumberFormat="1" applyFont="1" applyFill="1" applyBorder="1" applyAlignment="1" applyProtection="1">
      <alignment horizontal="center" vertical="center"/>
      <protection hidden="1"/>
    </xf>
    <xf numFmtId="0" fontId="6" fillId="31" borderId="26" xfId="0" applyFont="1" applyFill="1" applyBorder="1" applyAlignment="1" applyProtection="1">
      <alignment horizontal="center" vertical="center" wrapText="1"/>
      <protection hidden="1"/>
    </xf>
    <xf numFmtId="2" fontId="6" fillId="31" borderId="39" xfId="0" applyNumberFormat="1" applyFont="1" applyFill="1" applyBorder="1" applyAlignment="1" applyProtection="1">
      <alignment horizontal="center" vertical="center" wrapText="1"/>
      <protection hidden="1"/>
    </xf>
    <xf numFmtId="165" fontId="6" fillId="31" borderId="39" xfId="0" applyNumberFormat="1" applyFont="1" applyFill="1" applyBorder="1" applyAlignment="1" applyProtection="1">
      <alignment horizontal="center" vertical="center" wrapText="1"/>
      <protection hidden="1"/>
    </xf>
    <xf numFmtId="165" fontId="6" fillId="31" borderId="9" xfId="0" applyNumberFormat="1" applyFont="1" applyFill="1" applyBorder="1" applyAlignment="1" applyProtection="1">
      <alignment horizontal="center" vertical="center" wrapText="1"/>
      <protection hidden="1"/>
    </xf>
    <xf numFmtId="166" fontId="6" fillId="31" borderId="42" xfId="0" applyNumberFormat="1" applyFont="1" applyFill="1" applyBorder="1" applyAlignment="1" applyProtection="1">
      <alignment horizontal="center" vertical="center" wrapText="1"/>
      <protection hidden="1"/>
    </xf>
    <xf numFmtId="165" fontId="6" fillId="31" borderId="42" xfId="0" applyNumberFormat="1" applyFont="1" applyFill="1" applyBorder="1" applyAlignment="1" applyProtection="1">
      <alignment horizontal="center" vertical="center" wrapText="1"/>
      <protection hidden="1"/>
    </xf>
    <xf numFmtId="14" fontId="6" fillId="31" borderId="40" xfId="0" applyNumberFormat="1" applyFont="1" applyFill="1" applyBorder="1" applyAlignment="1" applyProtection="1">
      <alignment horizontal="center" vertical="center"/>
      <protection hidden="1"/>
    </xf>
    <xf numFmtId="14" fontId="6" fillId="31" borderId="33" xfId="0" applyNumberFormat="1" applyFont="1" applyFill="1" applyBorder="1" applyAlignment="1" applyProtection="1">
      <alignment horizontal="center" vertical="center"/>
      <protection hidden="1"/>
    </xf>
    <xf numFmtId="14" fontId="6" fillId="31" borderId="36" xfId="0" applyNumberFormat="1" applyFont="1" applyFill="1" applyBorder="1" applyAlignment="1" applyProtection="1">
      <alignment horizontal="center" vertical="center"/>
      <protection hidden="1"/>
    </xf>
    <xf numFmtId="3" fontId="6" fillId="31" borderId="38" xfId="0" applyNumberFormat="1" applyFont="1" applyFill="1" applyBorder="1" applyAlignment="1" applyProtection="1">
      <alignment horizontal="center" vertical="center" wrapText="1"/>
      <protection hidden="1"/>
    </xf>
    <xf numFmtId="3" fontId="6" fillId="31" borderId="39" xfId="0" applyNumberFormat="1" applyFont="1" applyFill="1" applyBorder="1" applyAlignment="1" applyProtection="1">
      <alignment horizontal="center" vertical="center" wrapText="1"/>
      <protection hidden="1"/>
    </xf>
    <xf numFmtId="169" fontId="6" fillId="31" borderId="39" xfId="0" applyNumberFormat="1" applyFont="1" applyFill="1" applyBorder="1" applyAlignment="1" applyProtection="1">
      <alignment horizontal="center" vertical="center" wrapText="1"/>
      <protection hidden="1"/>
    </xf>
    <xf numFmtId="171" fontId="6" fillId="31" borderId="39" xfId="0" applyNumberFormat="1" applyFont="1" applyFill="1" applyBorder="1" applyAlignment="1" applyProtection="1">
      <alignment horizontal="center" vertical="center" wrapText="1"/>
      <protection hidden="1"/>
    </xf>
    <xf numFmtId="165" fontId="6" fillId="31" borderId="40" xfId="0" applyNumberFormat="1" applyFont="1" applyFill="1" applyBorder="1" applyAlignment="1" applyProtection="1">
      <alignment horizontal="center" vertical="center" wrapText="1"/>
      <protection hidden="1"/>
    </xf>
    <xf numFmtId="3" fontId="6" fillId="31" borderId="31" xfId="0" applyNumberFormat="1" applyFont="1" applyFill="1" applyBorder="1" applyAlignment="1" applyProtection="1">
      <alignment horizontal="center" vertical="center" wrapText="1"/>
      <protection hidden="1"/>
    </xf>
    <xf numFmtId="3" fontId="6" fillId="31" borderId="17" xfId="0" applyNumberFormat="1" applyFont="1" applyFill="1" applyBorder="1" applyAlignment="1" applyProtection="1">
      <alignment horizontal="center" vertical="center" wrapText="1"/>
      <protection hidden="1"/>
    </xf>
    <xf numFmtId="169" fontId="6" fillId="31" borderId="9" xfId="0" applyNumberFormat="1" applyFont="1" applyFill="1" applyBorder="1" applyAlignment="1" applyProtection="1">
      <alignment horizontal="center" vertical="center" wrapText="1"/>
      <protection hidden="1"/>
    </xf>
    <xf numFmtId="167" fontId="6" fillId="31" borderId="9" xfId="0" applyNumberFormat="1" applyFont="1" applyFill="1" applyBorder="1" applyAlignment="1" applyProtection="1">
      <alignment horizontal="center" vertical="center" wrapText="1"/>
      <protection hidden="1"/>
    </xf>
    <xf numFmtId="165" fontId="6" fillId="31" borderId="17" xfId="0" applyNumberFormat="1" applyFont="1" applyFill="1" applyBorder="1" applyAlignment="1" applyProtection="1">
      <alignment horizontal="center" vertical="center" wrapText="1"/>
      <protection hidden="1"/>
    </xf>
    <xf numFmtId="165" fontId="6" fillId="31" borderId="35" xfId="0" applyNumberFormat="1" applyFont="1" applyFill="1" applyBorder="1" applyAlignment="1" applyProtection="1">
      <alignment horizontal="center" vertical="center" wrapText="1"/>
      <protection hidden="1"/>
    </xf>
    <xf numFmtId="3" fontId="6" fillId="14" borderId="41" xfId="0" applyNumberFormat="1" applyFont="1" applyFill="1" applyBorder="1" applyAlignment="1" applyProtection="1">
      <alignment horizontal="center" vertical="center" wrapText="1"/>
      <protection hidden="1"/>
    </xf>
    <xf numFmtId="0" fontId="6" fillId="14" borderId="42" xfId="0" applyFont="1" applyFill="1" applyBorder="1" applyAlignment="1" applyProtection="1">
      <alignment horizontal="center" vertical="center" wrapText="1"/>
      <protection hidden="1"/>
    </xf>
    <xf numFmtId="3" fontId="6" fillId="14" borderId="42" xfId="0" applyNumberFormat="1" applyFont="1" applyFill="1" applyBorder="1" applyAlignment="1" applyProtection="1">
      <alignment horizontal="center" vertical="center" wrapText="1"/>
      <protection hidden="1"/>
    </xf>
    <xf numFmtId="165" fontId="6" fillId="14" borderId="51" xfId="0" applyNumberFormat="1" applyFont="1" applyFill="1" applyBorder="1" applyAlignment="1" applyProtection="1">
      <alignment horizontal="center" vertical="center" wrapText="1"/>
      <protection hidden="1"/>
    </xf>
    <xf numFmtId="165" fontId="6" fillId="14" borderId="76" xfId="0" applyNumberFormat="1" applyFont="1" applyFill="1" applyBorder="1" applyAlignment="1" applyProtection="1">
      <alignment horizontal="center" vertical="center" wrapText="1"/>
      <protection hidden="1"/>
    </xf>
    <xf numFmtId="0" fontId="45" fillId="31" borderId="39" xfId="0" applyFont="1" applyFill="1" applyBorder="1" applyAlignment="1" applyProtection="1">
      <alignment horizontal="center" vertical="center" wrapText="1"/>
      <protection hidden="1"/>
    </xf>
    <xf numFmtId="0" fontId="45" fillId="31" borderId="9" xfId="0" applyFont="1" applyFill="1" applyBorder="1" applyAlignment="1" applyProtection="1">
      <alignment horizontal="center" vertical="center" wrapText="1"/>
      <protection hidden="1"/>
    </xf>
    <xf numFmtId="0" fontId="45" fillId="31" borderId="42" xfId="0" applyFont="1" applyFill="1" applyBorder="1" applyAlignment="1" applyProtection="1">
      <alignment horizontal="center" vertical="center" wrapText="1"/>
      <protection hidden="1"/>
    </xf>
    <xf numFmtId="0" fontId="45" fillId="31" borderId="42" xfId="0" applyFont="1" applyFill="1" applyBorder="1" applyAlignment="1" applyProtection="1">
      <alignment vertical="center" wrapText="1"/>
      <protection hidden="1"/>
    </xf>
    <xf numFmtId="175" fontId="45" fillId="31" borderId="9" xfId="0" applyNumberFormat="1" applyFont="1" applyFill="1" applyBorder="1" applyAlignment="1" applyProtection="1">
      <alignment horizontal="center" vertical="center" wrapText="1"/>
      <protection hidden="1"/>
    </xf>
    <xf numFmtId="4" fontId="45" fillId="31" borderId="9" xfId="0" applyNumberFormat="1" applyFont="1" applyFill="1" applyBorder="1" applyAlignment="1" applyProtection="1">
      <alignment horizontal="center" vertical="center" wrapText="1"/>
      <protection hidden="1"/>
    </xf>
    <xf numFmtId="0" fontId="45" fillId="31" borderId="12" xfId="0" applyFont="1" applyFill="1" applyBorder="1" applyAlignment="1" applyProtection="1">
      <alignment horizontal="center" vertical="center" wrapText="1"/>
      <protection hidden="1"/>
    </xf>
    <xf numFmtId="0" fontId="45" fillId="31" borderId="12" xfId="0" applyFont="1" applyFill="1" applyBorder="1" applyAlignment="1" applyProtection="1">
      <alignment vertical="center" wrapText="1"/>
      <protection hidden="1"/>
    </xf>
    <xf numFmtId="0" fontId="6" fillId="31" borderId="17" xfId="0" applyFont="1" applyFill="1" applyBorder="1" applyAlignment="1" applyProtection="1">
      <alignment horizontal="center" vertical="center" wrapText="1"/>
      <protection hidden="1"/>
    </xf>
    <xf numFmtId="0" fontId="45" fillId="31" borderId="17" xfId="0" applyFont="1" applyFill="1" applyBorder="1" applyAlignment="1" applyProtection="1">
      <alignment horizontal="center" vertical="center" wrapText="1"/>
      <protection hidden="1"/>
    </xf>
    <xf numFmtId="0" fontId="12" fillId="24" borderId="8" xfId="6" applyFont="1" applyBorder="1" applyAlignment="1" applyProtection="1">
      <alignment horizontal="center" vertical="center"/>
      <protection locked="0" hidden="1"/>
    </xf>
    <xf numFmtId="0" fontId="7" fillId="18" borderId="19" xfId="0" applyFont="1" applyFill="1" applyBorder="1" applyAlignment="1" applyProtection="1">
      <alignment horizontal="center" vertical="center" wrapText="1"/>
      <protection hidden="1"/>
    </xf>
    <xf numFmtId="2" fontId="6" fillId="31" borderId="39" xfId="0" applyNumberFormat="1" applyFont="1" applyFill="1" applyBorder="1" applyAlignment="1" applyProtection="1">
      <alignment horizontal="center" vertical="center"/>
      <protection hidden="1"/>
    </xf>
    <xf numFmtId="2" fontId="6" fillId="31" borderId="40" xfId="0" applyNumberFormat="1" applyFont="1" applyFill="1" applyBorder="1" applyAlignment="1" applyProtection="1">
      <alignment horizontal="center" vertical="center"/>
      <protection hidden="1"/>
    </xf>
    <xf numFmtId="14" fontId="3" fillId="31" borderId="39" xfId="0" applyNumberFormat="1" applyFont="1" applyFill="1" applyBorder="1" applyAlignment="1" applyProtection="1">
      <alignment horizontal="center" vertical="center"/>
      <protection hidden="1"/>
    </xf>
    <xf numFmtId="165" fontId="6" fillId="31" borderId="39" xfId="0" applyNumberFormat="1" applyFont="1" applyFill="1" applyBorder="1" applyAlignment="1" applyProtection="1">
      <alignment horizontal="center" vertical="center"/>
      <protection hidden="1"/>
    </xf>
    <xf numFmtId="2" fontId="6" fillId="31" borderId="42" xfId="0" applyNumberFormat="1" applyFont="1" applyFill="1" applyBorder="1" applyAlignment="1" applyProtection="1">
      <alignment horizontal="center" vertical="center"/>
      <protection hidden="1"/>
    </xf>
    <xf numFmtId="167" fontId="3" fillId="31" borderId="39" xfId="0" applyNumberFormat="1" applyFont="1" applyFill="1" applyBorder="1" applyAlignment="1" applyProtection="1">
      <alignment horizontal="center" vertical="center"/>
      <protection hidden="1"/>
    </xf>
    <xf numFmtId="2" fontId="6" fillId="0" borderId="0" xfId="0" applyNumberFormat="1" applyFont="1" applyBorder="1" applyProtection="1">
      <protection hidden="1"/>
    </xf>
    <xf numFmtId="165" fontId="6" fillId="31" borderId="42" xfId="0" applyNumberFormat="1" applyFont="1" applyFill="1" applyBorder="1" applyAlignment="1" applyProtection="1">
      <alignment horizontal="center" vertical="center"/>
      <protection hidden="1"/>
    </xf>
    <xf numFmtId="14" fontId="3" fillId="31" borderId="42" xfId="0" applyNumberFormat="1" applyFont="1" applyFill="1" applyBorder="1" applyAlignment="1" applyProtection="1">
      <alignment horizontal="center" vertical="center"/>
      <protection hidden="1"/>
    </xf>
    <xf numFmtId="2" fontId="6" fillId="31" borderId="36" xfId="0" applyNumberFormat="1" applyFont="1" applyFill="1" applyBorder="1" applyAlignment="1" applyProtection="1">
      <alignment horizontal="center" vertical="center"/>
      <protection hidden="1"/>
    </xf>
    <xf numFmtId="0" fontId="6" fillId="0" borderId="2" xfId="0" applyFont="1" applyFill="1" applyBorder="1" applyProtection="1">
      <protection hidden="1"/>
    </xf>
    <xf numFmtId="0" fontId="6" fillId="0" borderId="3" xfId="0" applyFont="1" applyBorder="1" applyProtection="1">
      <protection hidden="1"/>
    </xf>
    <xf numFmtId="169" fontId="6" fillId="0" borderId="3" xfId="0" applyNumberFormat="1" applyFont="1" applyBorder="1" applyProtection="1">
      <protection hidden="1"/>
    </xf>
    <xf numFmtId="0" fontId="6" fillId="0" borderId="3" xfId="0" applyFont="1" applyFill="1" applyBorder="1" applyProtection="1">
      <protection hidden="1"/>
    </xf>
    <xf numFmtId="0" fontId="6" fillId="0" borderId="4" xfId="0" applyFont="1" applyBorder="1" applyAlignment="1" applyProtection="1">
      <alignment horizontal="center" vertical="center"/>
      <protection hidden="1"/>
    </xf>
    <xf numFmtId="0" fontId="3" fillId="0" borderId="0" xfId="0" applyFont="1"/>
    <xf numFmtId="0" fontId="3" fillId="0" borderId="0" xfId="0" applyFont="1" applyBorder="1" applyAlignment="1">
      <alignment wrapText="1"/>
    </xf>
    <xf numFmtId="0" fontId="3" fillId="0" borderId="0" xfId="0" applyFont="1" applyBorder="1"/>
    <xf numFmtId="0" fontId="3" fillId="0" borderId="0" xfId="0" applyFont="1" applyBorder="1" applyAlignment="1">
      <alignment horizontal="center" wrapText="1"/>
    </xf>
    <xf numFmtId="0" fontId="3" fillId="0" borderId="0" xfId="0" applyFont="1" applyBorder="1" applyAlignment="1">
      <alignment horizontal="center"/>
    </xf>
    <xf numFmtId="0" fontId="3" fillId="0" borderId="0" xfId="0" applyFont="1" applyFill="1" applyBorder="1" applyAlignment="1">
      <alignment horizontal="center"/>
    </xf>
    <xf numFmtId="0" fontId="3" fillId="32" borderId="9" xfId="0" applyFont="1" applyFill="1" applyBorder="1" applyAlignment="1">
      <alignment vertical="center"/>
    </xf>
    <xf numFmtId="0" fontId="3" fillId="32" borderId="33" xfId="0" applyFont="1" applyFill="1" applyBorder="1" applyAlignment="1">
      <alignment vertical="center"/>
    </xf>
    <xf numFmtId="0" fontId="3" fillId="32" borderId="39" xfId="0" applyFont="1" applyFill="1" applyBorder="1"/>
    <xf numFmtId="0" fontId="3" fillId="32" borderId="40" xfId="0" applyFont="1" applyFill="1" applyBorder="1"/>
    <xf numFmtId="0" fontId="3" fillId="32" borderId="34" xfId="0" applyFont="1" applyFill="1" applyBorder="1" applyAlignment="1">
      <alignment horizontal="center"/>
    </xf>
    <xf numFmtId="2" fontId="3" fillId="32" borderId="31" xfId="0" applyNumberFormat="1" applyFont="1" applyFill="1" applyBorder="1" applyAlignment="1">
      <alignment horizontal="center"/>
    </xf>
    <xf numFmtId="9" fontId="3" fillId="32" borderId="9" xfId="11" applyFont="1" applyFill="1" applyBorder="1" applyAlignment="1">
      <alignment horizontal="center"/>
    </xf>
    <xf numFmtId="9" fontId="3" fillId="32" borderId="33" xfId="11" applyFont="1" applyFill="1" applyBorder="1" applyAlignment="1">
      <alignment horizontal="center"/>
    </xf>
    <xf numFmtId="0" fontId="3" fillId="32" borderId="31" xfId="0" applyFont="1" applyFill="1" applyBorder="1"/>
    <xf numFmtId="0" fontId="3" fillId="32" borderId="9" xfId="0" applyFont="1" applyFill="1" applyBorder="1"/>
    <xf numFmtId="0" fontId="3" fillId="32" borderId="33" xfId="0" applyFont="1" applyFill="1" applyBorder="1"/>
    <xf numFmtId="0" fontId="3" fillId="32" borderId="33" xfId="0" applyFont="1" applyFill="1" applyBorder="1" applyAlignment="1">
      <alignment horizontal="center"/>
    </xf>
    <xf numFmtId="0" fontId="3" fillId="32" borderId="31" xfId="0" applyFont="1" applyFill="1" applyBorder="1" applyAlignment="1">
      <alignment horizontal="center"/>
    </xf>
    <xf numFmtId="0" fontId="3" fillId="32" borderId="41" xfId="0" applyFont="1" applyFill="1" applyBorder="1" applyAlignment="1">
      <alignment horizontal="center"/>
    </xf>
    <xf numFmtId="0" fontId="3" fillId="32" borderId="36" xfId="0" applyFont="1" applyFill="1" applyBorder="1" applyAlignment="1">
      <alignment horizontal="center"/>
    </xf>
    <xf numFmtId="164" fontId="3" fillId="32" borderId="31" xfId="0" applyNumberFormat="1" applyFont="1" applyFill="1" applyBorder="1" applyAlignment="1">
      <alignment horizontal="center"/>
    </xf>
    <xf numFmtId="2" fontId="3" fillId="32" borderId="41" xfId="0" applyNumberFormat="1" applyFont="1" applyFill="1" applyBorder="1" applyAlignment="1">
      <alignment horizontal="center"/>
    </xf>
    <xf numFmtId="167" fontId="3" fillId="32" borderId="29" xfId="0" applyNumberFormat="1" applyFont="1" applyFill="1" applyBorder="1" applyAlignment="1">
      <alignment horizontal="center"/>
    </xf>
    <xf numFmtId="0" fontId="3" fillId="32" borderId="35" xfId="0" applyFont="1" applyFill="1" applyBorder="1" applyAlignment="1">
      <alignment horizontal="center"/>
    </xf>
    <xf numFmtId="164" fontId="3" fillId="32" borderId="29" xfId="0" applyNumberFormat="1" applyFont="1" applyFill="1" applyBorder="1" applyAlignment="1">
      <alignment horizontal="center"/>
    </xf>
    <xf numFmtId="167" fontId="3" fillId="32" borderId="1" xfId="0" applyNumberFormat="1" applyFont="1" applyFill="1" applyBorder="1" applyAlignment="1">
      <alignment horizontal="center" vertical="center"/>
    </xf>
    <xf numFmtId="0" fontId="3" fillId="32" borderId="56" xfId="0" applyFont="1" applyFill="1" applyBorder="1" applyAlignment="1">
      <alignment horizontal="center"/>
    </xf>
    <xf numFmtId="0" fontId="3" fillId="32" borderId="54" xfId="0" applyFont="1" applyFill="1" applyBorder="1" applyAlignment="1">
      <alignment horizontal="center"/>
    </xf>
    <xf numFmtId="167" fontId="3" fillId="32" borderId="38" xfId="0" applyNumberFormat="1" applyFont="1" applyFill="1" applyBorder="1" applyAlignment="1">
      <alignment horizontal="center" vertical="center"/>
    </xf>
    <xf numFmtId="167" fontId="3" fillId="32" borderId="39" xfId="0" applyNumberFormat="1" applyFont="1" applyFill="1" applyBorder="1" applyAlignment="1">
      <alignment horizontal="center" vertical="center"/>
    </xf>
    <xf numFmtId="167" fontId="3" fillId="32" borderId="31" xfId="0" applyNumberFormat="1" applyFont="1" applyFill="1" applyBorder="1" applyAlignment="1">
      <alignment horizontal="center" vertical="center"/>
    </xf>
    <xf numFmtId="167" fontId="3" fillId="32" borderId="9" xfId="0" applyNumberFormat="1" applyFont="1" applyFill="1" applyBorder="1" applyAlignment="1">
      <alignment horizontal="center" vertical="center"/>
    </xf>
    <xf numFmtId="2" fontId="3" fillId="32" borderId="9" xfId="0" applyNumberFormat="1" applyFont="1" applyFill="1" applyBorder="1" applyAlignment="1">
      <alignment horizontal="center" vertical="center"/>
    </xf>
    <xf numFmtId="167" fontId="3" fillId="32" borderId="41" xfId="0" applyNumberFormat="1" applyFont="1" applyFill="1" applyBorder="1" applyAlignment="1">
      <alignment horizontal="center" vertical="center"/>
    </xf>
    <xf numFmtId="167" fontId="3" fillId="32" borderId="42" xfId="0" applyNumberFormat="1" applyFont="1" applyFill="1" applyBorder="1" applyAlignment="1">
      <alignment horizontal="center" vertical="center"/>
    </xf>
    <xf numFmtId="0" fontId="3" fillId="32" borderId="39" xfId="0" applyFont="1" applyFill="1" applyBorder="1" applyAlignment="1">
      <alignment horizontal="center" vertical="center"/>
    </xf>
    <xf numFmtId="0" fontId="3" fillId="32" borderId="9" xfId="0" applyFont="1" applyFill="1" applyBorder="1" applyAlignment="1">
      <alignment horizontal="center" vertical="center"/>
    </xf>
    <xf numFmtId="0" fontId="3" fillId="32" borderId="42" xfId="0" applyFont="1" applyFill="1" applyBorder="1" applyAlignment="1">
      <alignment horizontal="center" vertical="center"/>
    </xf>
    <xf numFmtId="9" fontId="3" fillId="32" borderId="33" xfId="0" applyNumberFormat="1" applyFont="1" applyFill="1" applyBorder="1" applyAlignment="1">
      <alignment horizontal="center"/>
    </xf>
    <xf numFmtId="0" fontId="7" fillId="32" borderId="18" xfId="0" applyFont="1" applyFill="1" applyBorder="1" applyAlignment="1">
      <alignment vertical="center" wrapText="1"/>
    </xf>
    <xf numFmtId="0" fontId="7" fillId="32" borderId="21" xfId="0" applyFont="1" applyFill="1" applyBorder="1" applyAlignment="1">
      <alignment vertical="center"/>
    </xf>
    <xf numFmtId="0" fontId="7" fillId="32" borderId="19" xfId="0" applyFont="1" applyFill="1" applyBorder="1" applyAlignment="1">
      <alignment vertical="center"/>
    </xf>
    <xf numFmtId="2" fontId="3" fillId="32" borderId="38" xfId="0" applyNumberFormat="1" applyFont="1" applyFill="1" applyBorder="1" applyAlignment="1">
      <alignment horizontal="center" vertical="center"/>
    </xf>
    <xf numFmtId="9" fontId="3" fillId="32" borderId="39" xfId="11" applyFont="1" applyFill="1" applyBorder="1" applyAlignment="1">
      <alignment horizontal="center" vertical="center"/>
    </xf>
    <xf numFmtId="9" fontId="3" fillId="32" borderId="40" xfId="11" applyFont="1" applyFill="1" applyBorder="1" applyAlignment="1">
      <alignment horizontal="center" vertical="center"/>
    </xf>
    <xf numFmtId="0" fontId="3" fillId="32" borderId="31" xfId="0" applyFont="1" applyFill="1" applyBorder="1" applyAlignment="1">
      <alignment vertical="center"/>
    </xf>
    <xf numFmtId="2" fontId="3" fillId="32" borderId="41" xfId="0" applyNumberFormat="1" applyFont="1" applyFill="1" applyBorder="1" applyAlignment="1">
      <alignment horizontal="center" vertical="center"/>
    </xf>
    <xf numFmtId="9" fontId="3" fillId="32" borderId="42" xfId="11" applyFont="1" applyFill="1" applyBorder="1" applyAlignment="1">
      <alignment horizontal="center" vertical="center"/>
    </xf>
    <xf numFmtId="9" fontId="3" fillId="32" borderId="36" xfId="0" applyNumberFormat="1" applyFont="1" applyFill="1" applyBorder="1" applyAlignment="1">
      <alignment horizontal="center" vertical="center"/>
    </xf>
    <xf numFmtId="0" fontId="7" fillId="5" borderId="28" xfId="0" applyFont="1" applyFill="1" applyBorder="1" applyAlignment="1">
      <alignment horizontal="center" vertical="center"/>
    </xf>
    <xf numFmtId="0" fontId="7" fillId="5" borderId="65" xfId="0" applyFont="1" applyFill="1" applyBorder="1" applyAlignment="1">
      <alignment horizontal="center" vertical="center" wrapText="1"/>
    </xf>
    <xf numFmtId="0" fontId="7" fillId="5" borderId="65" xfId="0" applyFont="1" applyFill="1" applyBorder="1" applyAlignment="1">
      <alignment horizontal="center" vertical="center"/>
    </xf>
    <xf numFmtId="0" fontId="7" fillId="5" borderId="70" xfId="0" applyFont="1" applyFill="1" applyBorder="1" applyAlignment="1">
      <alignment horizontal="center" vertical="center"/>
    </xf>
    <xf numFmtId="2" fontId="7" fillId="32" borderId="39" xfId="0" applyNumberFormat="1" applyFont="1" applyFill="1" applyBorder="1" applyAlignment="1">
      <alignment horizontal="center" vertical="center"/>
    </xf>
    <xf numFmtId="2" fontId="7" fillId="32" borderId="9" xfId="0" applyNumberFormat="1" applyFont="1" applyFill="1" applyBorder="1" applyAlignment="1">
      <alignment horizontal="center" vertical="center"/>
    </xf>
    <xf numFmtId="2" fontId="7" fillId="32" borderId="42" xfId="0" applyNumberFormat="1" applyFont="1" applyFill="1" applyBorder="1" applyAlignment="1">
      <alignment horizontal="center" vertical="center"/>
    </xf>
    <xf numFmtId="0" fontId="44" fillId="0" borderId="0" xfId="0" applyFont="1" applyFill="1" applyBorder="1" applyAlignment="1" applyProtection="1">
      <alignment horizontal="center" wrapText="1"/>
      <protection hidden="1"/>
    </xf>
    <xf numFmtId="0" fontId="2" fillId="32" borderId="38" xfId="0" applyFont="1" applyFill="1" applyBorder="1"/>
    <xf numFmtId="0" fontId="15" fillId="16" borderId="1" xfId="0" applyFont="1" applyFill="1" applyBorder="1" applyAlignment="1" applyProtection="1">
      <alignment horizontal="center" vertical="center" wrapText="1"/>
      <protection hidden="1"/>
    </xf>
    <xf numFmtId="0" fontId="15" fillId="16" borderId="69" xfId="0" applyFont="1" applyFill="1" applyBorder="1" applyAlignment="1" applyProtection="1">
      <alignment horizontal="center" vertical="center" wrapText="1"/>
      <protection hidden="1"/>
    </xf>
    <xf numFmtId="167" fontId="6" fillId="0" borderId="9" xfId="0" applyNumberFormat="1" applyFont="1" applyBorder="1" applyAlignment="1" applyProtection="1">
      <alignment horizontal="center" vertical="center"/>
      <protection hidden="1"/>
    </xf>
    <xf numFmtId="167" fontId="6" fillId="0" borderId="33" xfId="0" applyNumberFormat="1" applyFont="1" applyBorder="1" applyAlignment="1" applyProtection="1">
      <alignment horizontal="center" vertical="center"/>
      <protection hidden="1"/>
    </xf>
    <xf numFmtId="0" fontId="2" fillId="20" borderId="39" xfId="0" applyFont="1" applyFill="1" applyBorder="1" applyAlignment="1" applyProtection="1">
      <alignment horizontal="center" vertical="center"/>
      <protection hidden="1"/>
    </xf>
    <xf numFmtId="0" fontId="2" fillId="20" borderId="40" xfId="0" applyFont="1" applyFill="1" applyBorder="1" applyAlignment="1" applyProtection="1">
      <alignment horizontal="center" vertical="center"/>
      <protection hidden="1"/>
    </xf>
    <xf numFmtId="167" fontId="6" fillId="0" borderId="14" xfId="0" applyNumberFormat="1" applyFont="1" applyBorder="1" applyAlignment="1" applyProtection="1">
      <alignment horizontal="center" vertical="center"/>
      <protection hidden="1"/>
    </xf>
    <xf numFmtId="0" fontId="6" fillId="20" borderId="70" xfId="0" applyFont="1" applyFill="1" applyBorder="1" applyProtection="1">
      <protection hidden="1"/>
    </xf>
    <xf numFmtId="167" fontId="6" fillId="0" borderId="55" xfId="0" applyNumberFormat="1" applyFont="1" applyBorder="1" applyAlignment="1" applyProtection="1">
      <alignment horizontal="center" vertical="center"/>
      <protection hidden="1"/>
    </xf>
    <xf numFmtId="167" fontId="6" fillId="0" borderId="42" xfId="0" applyNumberFormat="1" applyFont="1" applyFill="1" applyBorder="1" applyAlignment="1" applyProtection="1">
      <alignment horizontal="center" vertical="center"/>
      <protection hidden="1"/>
    </xf>
    <xf numFmtId="167" fontId="6" fillId="0" borderId="36" xfId="0" applyNumberFormat="1" applyFont="1" applyFill="1" applyBorder="1" applyAlignment="1" applyProtection="1">
      <alignment horizontal="center" vertical="center" wrapText="1"/>
      <protection hidden="1"/>
    </xf>
    <xf numFmtId="0" fontId="0" fillId="0" borderId="0" xfId="0" applyFont="1" applyAlignment="1">
      <alignment horizontal="center"/>
    </xf>
    <xf numFmtId="167" fontId="36" fillId="0" borderId="31" xfId="0" applyNumberFormat="1" applyFont="1" applyFill="1" applyBorder="1" applyAlignment="1" applyProtection="1">
      <alignment horizontal="center" vertical="center"/>
      <protection hidden="1"/>
    </xf>
    <xf numFmtId="0" fontId="36" fillId="0" borderId="9" xfId="0" applyFont="1" applyFill="1" applyBorder="1" applyAlignment="1" applyProtection="1">
      <alignment horizontal="center" vertical="center"/>
      <protection hidden="1"/>
    </xf>
    <xf numFmtId="0" fontId="36" fillId="0" borderId="33" xfId="0" applyFont="1" applyFill="1" applyBorder="1" applyAlignment="1" applyProtection="1">
      <alignment horizontal="center" vertical="center"/>
      <protection hidden="1"/>
    </xf>
    <xf numFmtId="0" fontId="36" fillId="0" borderId="31" xfId="0" applyFont="1" applyFill="1" applyBorder="1" applyAlignment="1" applyProtection="1">
      <alignment horizontal="center" vertical="center"/>
      <protection hidden="1"/>
    </xf>
    <xf numFmtId="167" fontId="36" fillId="0" borderId="9" xfId="0" applyNumberFormat="1" applyFont="1" applyFill="1" applyBorder="1" applyAlignment="1" applyProtection="1">
      <alignment horizontal="center" vertical="center"/>
      <protection hidden="1"/>
    </xf>
    <xf numFmtId="166" fontId="36" fillId="0" borderId="8" xfId="0" applyNumberFormat="1" applyFont="1" applyFill="1" applyBorder="1" applyAlignment="1" applyProtection="1">
      <alignment horizontal="center" vertical="center"/>
      <protection hidden="1"/>
    </xf>
    <xf numFmtId="0" fontId="6" fillId="2" borderId="31" xfId="0" applyFont="1" applyFill="1" applyBorder="1" applyAlignment="1" applyProtection="1">
      <alignment horizontal="center" vertical="center"/>
      <protection hidden="1"/>
    </xf>
    <xf numFmtId="0" fontId="6" fillId="2" borderId="9" xfId="0" applyFont="1" applyFill="1" applyBorder="1" applyAlignment="1" applyProtection="1">
      <protection hidden="1"/>
    </xf>
    <xf numFmtId="0" fontId="6" fillId="2" borderId="33" xfId="0" applyFont="1" applyFill="1" applyBorder="1" applyAlignment="1" applyProtection="1">
      <alignment vertical="center"/>
      <protection hidden="1"/>
    </xf>
    <xf numFmtId="0" fontId="6" fillId="2" borderId="47" xfId="0" applyFont="1" applyFill="1" applyBorder="1" applyAlignment="1" applyProtection="1">
      <alignment horizontal="center" vertical="center"/>
      <protection hidden="1"/>
    </xf>
    <xf numFmtId="0" fontId="6" fillId="2" borderId="41" xfId="0" applyFont="1" applyFill="1" applyBorder="1" applyAlignment="1" applyProtection="1">
      <alignment horizontal="center" vertical="center"/>
      <protection hidden="1"/>
    </xf>
    <xf numFmtId="2" fontId="6" fillId="2" borderId="42" xfId="0" applyNumberFormat="1" applyFont="1" applyFill="1" applyBorder="1" applyAlignment="1" applyProtection="1">
      <alignment vertical="center"/>
      <protection hidden="1"/>
    </xf>
    <xf numFmtId="0" fontId="6" fillId="2" borderId="42" xfId="0" applyFont="1" applyFill="1" applyBorder="1" applyAlignment="1" applyProtection="1">
      <alignment vertical="center"/>
      <protection hidden="1"/>
    </xf>
    <xf numFmtId="0" fontId="6" fillId="2" borderId="36" xfId="0" applyFont="1" applyFill="1" applyBorder="1" applyAlignment="1" applyProtection="1">
      <alignment vertical="center"/>
      <protection hidden="1"/>
    </xf>
    <xf numFmtId="0" fontId="6" fillId="2" borderId="37" xfId="0" applyFont="1" applyFill="1" applyBorder="1" applyAlignment="1" applyProtection="1">
      <alignment horizontal="center" vertical="center"/>
      <protection hidden="1"/>
    </xf>
    <xf numFmtId="0" fontId="2" fillId="0" borderId="38" xfId="0" applyFont="1" applyBorder="1" applyAlignment="1">
      <alignment horizontal="center" vertical="center"/>
    </xf>
    <xf numFmtId="0" fontId="56" fillId="0" borderId="0" xfId="0" applyFont="1" applyProtection="1">
      <protection hidden="1"/>
    </xf>
    <xf numFmtId="0" fontId="56" fillId="0" borderId="0" xfId="0" applyFont="1" applyAlignment="1" applyProtection="1">
      <alignment horizontal="center"/>
      <protection hidden="1"/>
    </xf>
    <xf numFmtId="0" fontId="15" fillId="0" borderId="0" xfId="0" applyFont="1" applyAlignment="1" applyProtection="1">
      <alignment horizontal="right"/>
      <protection hidden="1"/>
    </xf>
    <xf numFmtId="0" fontId="15" fillId="0" borderId="0" xfId="0" applyFont="1" applyAlignment="1" applyProtection="1">
      <protection hidden="1"/>
    </xf>
    <xf numFmtId="0" fontId="57" fillId="0" borderId="0" xfId="0" applyFont="1" applyBorder="1" applyAlignment="1" applyProtection="1">
      <alignment vertical="center" wrapText="1"/>
      <protection hidden="1"/>
    </xf>
    <xf numFmtId="0" fontId="56" fillId="0" borderId="0" xfId="0" applyFont="1" applyAlignment="1" applyProtection="1">
      <alignment horizontal="center" vertical="center" wrapText="1"/>
      <protection hidden="1"/>
    </xf>
    <xf numFmtId="0" fontId="57" fillId="0" borderId="0" xfId="0" applyFont="1" applyBorder="1" applyAlignment="1" applyProtection="1">
      <alignment horizontal="left" vertical="center" wrapText="1"/>
      <protection hidden="1"/>
    </xf>
    <xf numFmtId="0" fontId="15" fillId="0" borderId="0" xfId="0" applyFont="1" applyBorder="1" applyAlignment="1" applyProtection="1">
      <alignment horizontal="left" vertical="center" wrapText="1"/>
      <protection hidden="1"/>
    </xf>
    <xf numFmtId="0" fontId="35" fillId="2" borderId="0" xfId="0" applyFont="1" applyFill="1" applyBorder="1" applyAlignment="1" applyProtection="1">
      <alignment horizontal="left" vertical="center" wrapText="1"/>
      <protection hidden="1"/>
    </xf>
    <xf numFmtId="0" fontId="56" fillId="0" borderId="0" xfId="0" applyFont="1" applyBorder="1" applyAlignment="1" applyProtection="1">
      <alignment horizontal="left" vertical="center" wrapText="1"/>
      <protection hidden="1"/>
    </xf>
    <xf numFmtId="0" fontId="56" fillId="0" borderId="0" xfId="0" applyFont="1" applyBorder="1" applyAlignment="1" applyProtection="1">
      <alignment vertical="center" wrapText="1"/>
      <protection hidden="1"/>
    </xf>
    <xf numFmtId="0" fontId="56" fillId="0" borderId="0" xfId="0" applyFont="1" applyBorder="1" applyProtection="1">
      <protection hidden="1"/>
    </xf>
    <xf numFmtId="0" fontId="35" fillId="0" borderId="0" xfId="0" applyFont="1" applyAlignment="1" applyProtection="1">
      <alignment horizontal="center" vertical="center" wrapText="1"/>
      <protection hidden="1"/>
    </xf>
    <xf numFmtId="0" fontId="35" fillId="0" borderId="0" xfId="0" applyFont="1" applyProtection="1">
      <protection hidden="1"/>
    </xf>
    <xf numFmtId="0" fontId="35" fillId="0" borderId="0" xfId="0" applyFont="1" applyBorder="1" applyProtection="1">
      <protection hidden="1"/>
    </xf>
    <xf numFmtId="0" fontId="35" fillId="0" borderId="0" xfId="0" applyFont="1" applyAlignment="1" applyProtection="1">
      <alignment horizontal="left" vertical="center" wrapText="1"/>
      <protection hidden="1"/>
    </xf>
    <xf numFmtId="0" fontId="35" fillId="2" borderId="0" xfId="0" applyFont="1" applyFill="1" applyAlignment="1" applyProtection="1">
      <alignment vertical="center" wrapText="1"/>
      <protection hidden="1"/>
    </xf>
    <xf numFmtId="0" fontId="35" fillId="0" borderId="0" xfId="0" applyFont="1" applyAlignment="1" applyProtection="1">
      <alignment vertical="center" wrapText="1"/>
      <protection hidden="1"/>
    </xf>
    <xf numFmtId="0" fontId="56" fillId="0" borderId="0" xfId="0" applyFont="1" applyBorder="1" applyAlignment="1" applyProtection="1">
      <protection hidden="1"/>
    </xf>
    <xf numFmtId="0" fontId="35" fillId="0" borderId="0" xfId="0" applyFont="1" applyBorder="1" applyAlignment="1" applyProtection="1">
      <protection hidden="1"/>
    </xf>
    <xf numFmtId="0" fontId="56" fillId="0" borderId="0" xfId="0" applyFont="1" applyAlignment="1" applyProtection="1">
      <alignment horizontal="left" vertical="center" wrapText="1"/>
      <protection hidden="1"/>
    </xf>
    <xf numFmtId="0" fontId="35" fillId="0" borderId="0" xfId="0" applyFont="1" applyAlignment="1" applyProtection="1">
      <alignment horizontal="center" vertical="center"/>
      <protection hidden="1"/>
    </xf>
    <xf numFmtId="0" fontId="15" fillId="0" borderId="0" xfId="0" applyFont="1" applyAlignment="1" applyProtection="1">
      <alignment vertical="center"/>
      <protection hidden="1"/>
    </xf>
    <xf numFmtId="0" fontId="35" fillId="0" borderId="0" xfId="0" applyFont="1" applyAlignment="1" applyProtection="1">
      <alignment horizontal="justify" vertical="justify" wrapText="1"/>
      <protection hidden="1"/>
    </xf>
    <xf numFmtId="0" fontId="56" fillId="0" borderId="0" xfId="0" applyFont="1" applyAlignment="1" applyProtection="1">
      <alignment vertical="justify" wrapText="1"/>
      <protection hidden="1"/>
    </xf>
    <xf numFmtId="1" fontId="15" fillId="0" borderId="0" xfId="0" applyNumberFormat="1" applyFont="1" applyAlignment="1" applyProtection="1">
      <protection hidden="1"/>
    </xf>
    <xf numFmtId="1" fontId="15" fillId="0" borderId="0" xfId="0" applyNumberFormat="1" applyFont="1" applyAlignment="1" applyProtection="1">
      <alignment horizontal="center"/>
      <protection hidden="1"/>
    </xf>
    <xf numFmtId="0" fontId="59" fillId="0" borderId="0" xfId="0" applyFont="1" applyAlignment="1" applyProtection="1">
      <alignment horizontal="left" vertical="center" wrapText="1"/>
      <protection hidden="1"/>
    </xf>
    <xf numFmtId="0" fontId="59" fillId="0" borderId="0" xfId="0" applyFont="1" applyAlignment="1" applyProtection="1">
      <alignment horizontal="justify" vertical="justify" wrapText="1"/>
      <protection hidden="1"/>
    </xf>
    <xf numFmtId="0" fontId="59" fillId="0" borderId="0" xfId="0" applyFont="1" applyProtection="1">
      <protection hidden="1"/>
    </xf>
    <xf numFmtId="0" fontId="60" fillId="0" borderId="0" xfId="0" applyFont="1" applyAlignment="1" applyProtection="1">
      <alignment horizontal="justify" vertical="center"/>
      <protection hidden="1"/>
    </xf>
    <xf numFmtId="0" fontId="61" fillId="0" borderId="0" xfId="0" applyFont="1" applyAlignment="1" applyProtection="1">
      <alignment horizontal="center"/>
      <protection hidden="1"/>
    </xf>
    <xf numFmtId="0" fontId="62" fillId="0" borderId="0" xfId="0" applyFont="1" applyBorder="1" applyAlignment="1" applyProtection="1">
      <alignment horizontal="center" vertical="center" wrapText="1"/>
      <protection hidden="1"/>
    </xf>
    <xf numFmtId="0" fontId="15" fillId="0" borderId="0" xfId="0" applyFont="1" applyBorder="1" applyAlignment="1" applyProtection="1">
      <alignment horizontal="justify" vertical="center" wrapText="1"/>
      <protection hidden="1"/>
    </xf>
    <xf numFmtId="0" fontId="56" fillId="0" borderId="0" xfId="0" applyFont="1" applyAlignment="1" applyProtection="1">
      <alignment horizontal="justify" vertical="center" wrapText="1"/>
      <protection hidden="1"/>
    </xf>
    <xf numFmtId="0" fontId="15" fillId="0" borderId="0" xfId="0" applyFont="1" applyAlignment="1" applyProtection="1">
      <alignment horizontal="justify" vertical="center" wrapText="1"/>
      <protection hidden="1"/>
    </xf>
    <xf numFmtId="1" fontId="15" fillId="0" borderId="0" xfId="0" applyNumberFormat="1" applyFont="1" applyAlignment="1" applyProtection="1">
      <alignment horizontal="justify" vertical="center" wrapText="1"/>
      <protection hidden="1"/>
    </xf>
    <xf numFmtId="0" fontId="59" fillId="0" borderId="0" xfId="0" applyFont="1" applyAlignment="1" applyProtection="1">
      <alignment horizontal="justify" vertical="center"/>
      <protection hidden="1"/>
    </xf>
    <xf numFmtId="0" fontId="35" fillId="0" borderId="0" xfId="0" applyFont="1" applyAlignment="1" applyProtection="1">
      <alignment horizontal="justify" vertical="center" wrapText="1"/>
      <protection hidden="1"/>
    </xf>
    <xf numFmtId="0" fontId="35" fillId="0" borderId="0" xfId="0" applyFont="1" applyFill="1" applyAlignment="1" applyProtection="1">
      <alignment vertical="center" wrapText="1"/>
      <protection hidden="1"/>
    </xf>
    <xf numFmtId="0" fontId="59" fillId="0" borderId="0" xfId="0" applyFont="1" applyAlignment="1" applyProtection="1">
      <alignment horizontal="left"/>
      <protection hidden="1"/>
    </xf>
    <xf numFmtId="0" fontId="57" fillId="0" borderId="0" xfId="0" applyFont="1" applyAlignment="1" applyProtection="1">
      <alignment horizontal="left" vertical="center"/>
      <protection hidden="1"/>
    </xf>
    <xf numFmtId="0" fontId="56" fillId="0" borderId="0" xfId="0" applyFont="1" applyAlignment="1" applyProtection="1">
      <alignment horizontal="justify" vertical="justify" wrapText="1"/>
      <protection hidden="1"/>
    </xf>
    <xf numFmtId="2" fontId="23" fillId="27" borderId="0" xfId="9" applyFont="1" applyBorder="1" applyAlignment="1">
      <alignment horizontal="center" vertical="center" wrapText="1"/>
      <protection locked="0"/>
    </xf>
    <xf numFmtId="0" fontId="35" fillId="0" borderId="0" xfId="0" applyFont="1" applyAlignment="1" applyProtection="1">
      <alignment horizontal="right" vertical="top" wrapText="1"/>
      <protection hidden="1"/>
    </xf>
    <xf numFmtId="0" fontId="35" fillId="0" borderId="0" xfId="0" applyFont="1" applyFill="1" applyAlignment="1" applyProtection="1">
      <alignment horizontal="left" wrapText="1"/>
      <protection hidden="1"/>
    </xf>
    <xf numFmtId="0" fontId="35" fillId="0" borderId="0" xfId="0" applyFont="1" applyFill="1" applyProtection="1">
      <protection hidden="1"/>
    </xf>
    <xf numFmtId="0" fontId="35" fillId="0" borderId="0" xfId="0" applyFont="1" applyFill="1" applyAlignment="1" applyProtection="1">
      <alignment horizontal="left" vertical="center" wrapText="1"/>
      <protection hidden="1"/>
    </xf>
    <xf numFmtId="0" fontId="35" fillId="0" borderId="0" xfId="0" applyFont="1" applyFill="1" applyAlignment="1" applyProtection="1">
      <alignment horizontal="justify" vertical="justify" wrapText="1"/>
      <protection hidden="1"/>
    </xf>
    <xf numFmtId="0" fontId="63" fillId="0" borderId="0" xfId="0" applyFont="1" applyProtection="1">
      <protection hidden="1"/>
    </xf>
    <xf numFmtId="0" fontId="15" fillId="0" borderId="0" xfId="0" applyFont="1" applyAlignment="1" applyProtection="1">
      <alignment horizontal="left" vertical="center"/>
      <protection hidden="1"/>
    </xf>
    <xf numFmtId="0" fontId="57" fillId="0" borderId="0" xfId="0" applyFont="1" applyBorder="1" applyAlignment="1" applyProtection="1">
      <alignment horizontal="center" vertical="center" wrapText="1"/>
      <protection hidden="1"/>
    </xf>
    <xf numFmtId="0" fontId="17" fillId="0" borderId="6" xfId="0" applyFont="1" applyBorder="1" applyAlignment="1" applyProtection="1">
      <alignment horizontal="center" vertical="center" wrapText="1"/>
      <protection hidden="1"/>
    </xf>
    <xf numFmtId="0" fontId="64" fillId="0" borderId="0" xfId="0" applyFont="1" applyProtection="1">
      <protection hidden="1"/>
    </xf>
    <xf numFmtId="0" fontId="64" fillId="24" borderId="0" xfId="6" applyFont="1" applyAlignment="1" applyProtection="1">
      <alignment horizontal="center" vertical="center"/>
      <protection hidden="1"/>
    </xf>
    <xf numFmtId="0" fontId="56" fillId="0" borderId="0" xfId="0" applyFont="1" applyBorder="1" applyAlignment="1" applyProtection="1">
      <alignment horizontal="center" vertical="center" wrapText="1"/>
      <protection hidden="1"/>
    </xf>
    <xf numFmtId="0" fontId="56" fillId="2" borderId="0" xfId="0" applyFont="1" applyFill="1" applyBorder="1" applyProtection="1">
      <protection hidden="1"/>
    </xf>
    <xf numFmtId="0" fontId="63" fillId="2" borderId="0" xfId="0" applyFont="1" applyFill="1" applyBorder="1" applyProtection="1">
      <protection hidden="1"/>
    </xf>
    <xf numFmtId="0" fontId="62" fillId="0" borderId="0" xfId="0" applyFont="1" applyAlignment="1" applyProtection="1">
      <alignment horizontal="left" vertical="center"/>
      <protection hidden="1"/>
    </xf>
    <xf numFmtId="0" fontId="63" fillId="0" borderId="0" xfId="0" applyFont="1" applyAlignment="1" applyProtection="1">
      <alignment horizontal="justify" vertical="justify" wrapText="1"/>
      <protection hidden="1"/>
    </xf>
    <xf numFmtId="0" fontId="17" fillId="0" borderId="2" xfId="0" applyFont="1" applyBorder="1" applyAlignment="1" applyProtection="1">
      <alignment horizontal="centerContinuous" vertical="center" wrapText="1"/>
      <protection hidden="1"/>
    </xf>
    <xf numFmtId="0" fontId="17" fillId="0" borderId="69" xfId="0" applyFont="1" applyFill="1" applyBorder="1" applyAlignment="1" applyProtection="1">
      <alignment horizontal="centerContinuous" vertical="center" wrapText="1"/>
      <protection hidden="1"/>
    </xf>
    <xf numFmtId="0" fontId="17" fillId="0" borderId="1" xfId="0" applyFont="1" applyFill="1" applyBorder="1" applyAlignment="1" applyProtection="1">
      <alignment horizontal="center" vertical="center"/>
      <protection hidden="1"/>
    </xf>
    <xf numFmtId="180" fontId="23" fillId="0" borderId="69" xfId="0" applyNumberFormat="1" applyFont="1" applyBorder="1" applyAlignment="1" applyProtection="1">
      <alignment horizontal="center" vertical="center" wrapText="1"/>
      <protection hidden="1"/>
    </xf>
    <xf numFmtId="167" fontId="23" fillId="0" borderId="1" xfId="0" applyNumberFormat="1" applyFont="1" applyFill="1" applyBorder="1" applyAlignment="1" applyProtection="1">
      <alignment horizontal="center" vertical="center" wrapText="1"/>
      <protection hidden="1"/>
    </xf>
    <xf numFmtId="181" fontId="23" fillId="0" borderId="69" xfId="0" applyNumberFormat="1" applyFont="1" applyBorder="1" applyAlignment="1" applyProtection="1">
      <alignment horizontal="center" vertical="center" wrapText="1"/>
      <protection hidden="1"/>
    </xf>
    <xf numFmtId="2" fontId="23" fillId="0" borderId="1" xfId="0" applyNumberFormat="1" applyFont="1" applyFill="1" applyBorder="1" applyAlignment="1" applyProtection="1">
      <alignment horizontal="centerContinuous" vertical="center" wrapText="1"/>
      <protection hidden="1"/>
    </xf>
    <xf numFmtId="2" fontId="23" fillId="0" borderId="1" xfId="0" applyNumberFormat="1" applyFont="1" applyFill="1" applyBorder="1" applyAlignment="1" applyProtection="1">
      <alignment horizontal="center" vertical="center" wrapText="1"/>
      <protection hidden="1"/>
    </xf>
    <xf numFmtId="165" fontId="23" fillId="2" borderId="1" xfId="0" applyNumberFormat="1" applyFont="1" applyFill="1" applyBorder="1" applyAlignment="1" applyProtection="1">
      <alignment horizontal="center" vertical="center" wrapText="1"/>
      <protection hidden="1"/>
    </xf>
    <xf numFmtId="165" fontId="23" fillId="0" borderId="1" xfId="0" applyNumberFormat="1" applyFont="1" applyFill="1" applyBorder="1" applyAlignment="1" applyProtection="1">
      <alignment horizontal="centerContinuous" vertical="center" wrapText="1"/>
      <protection hidden="1"/>
    </xf>
    <xf numFmtId="165" fontId="23" fillId="0" borderId="1" xfId="0" applyNumberFormat="1" applyFont="1" applyFill="1" applyBorder="1" applyAlignment="1" applyProtection="1">
      <alignment horizontal="center" vertical="center" wrapText="1"/>
      <protection hidden="1"/>
    </xf>
    <xf numFmtId="166" fontId="23" fillId="2" borderId="1" xfId="0" applyNumberFormat="1" applyFont="1" applyFill="1" applyBorder="1" applyAlignment="1" applyProtection="1">
      <alignment horizontal="center" vertical="center" wrapText="1"/>
      <protection hidden="1"/>
    </xf>
    <xf numFmtId="166" fontId="23" fillId="0" borderId="1" xfId="0" applyNumberFormat="1" applyFont="1" applyFill="1" applyBorder="1" applyAlignment="1" applyProtection="1">
      <alignment horizontal="centerContinuous" vertical="center" wrapText="1"/>
      <protection hidden="1"/>
    </xf>
    <xf numFmtId="166" fontId="23" fillId="0" borderId="1" xfId="0" applyNumberFormat="1" applyFont="1" applyFill="1" applyBorder="1" applyAlignment="1" applyProtection="1">
      <alignment horizontal="center" vertical="center" wrapText="1"/>
      <protection hidden="1"/>
    </xf>
    <xf numFmtId="174" fontId="23" fillId="0" borderId="0" xfId="0" applyNumberFormat="1" applyFont="1" applyFill="1" applyBorder="1" applyAlignment="1" applyProtection="1">
      <alignment horizontal="centerContinuous" vertical="center" wrapText="1"/>
      <protection hidden="1"/>
    </xf>
    <xf numFmtId="0" fontId="23" fillId="0" borderId="0" xfId="0" applyFont="1" applyFill="1" applyBorder="1" applyAlignment="1" applyProtection="1">
      <alignment horizontal="centerContinuous" vertical="center" wrapText="1"/>
      <protection hidden="1"/>
    </xf>
    <xf numFmtId="1" fontId="23" fillId="0" borderId="0" xfId="0" applyNumberFormat="1" applyFont="1" applyFill="1" applyBorder="1" applyAlignment="1" applyProtection="1">
      <alignment horizontal="center" vertical="center" wrapText="1"/>
      <protection hidden="1"/>
    </xf>
    <xf numFmtId="0" fontId="23" fillId="0" borderId="0" xfId="0" applyFont="1" applyFill="1" applyBorder="1" applyAlignment="1" applyProtection="1">
      <alignment horizontal="center" vertical="center" wrapText="1"/>
      <protection hidden="1"/>
    </xf>
    <xf numFmtId="165" fontId="23" fillId="2" borderId="0" xfId="0" applyNumberFormat="1" applyFont="1" applyFill="1" applyBorder="1" applyAlignment="1" applyProtection="1">
      <alignment horizontal="center" vertical="center" wrapText="1"/>
      <protection hidden="1"/>
    </xf>
    <xf numFmtId="167" fontId="23" fillId="0" borderId="0" xfId="0" applyNumberFormat="1" applyFont="1" applyFill="1" applyBorder="1" applyAlignment="1" applyProtection="1">
      <alignment horizontal="centerContinuous" vertical="center" wrapText="1"/>
      <protection hidden="1"/>
    </xf>
    <xf numFmtId="0" fontId="23" fillId="0" borderId="0" xfId="0" applyFont="1" applyFill="1" applyProtection="1">
      <protection hidden="1"/>
    </xf>
    <xf numFmtId="0" fontId="17" fillId="0" borderId="2" xfId="0" applyFont="1" applyFill="1" applyBorder="1" applyAlignment="1" applyProtection="1">
      <alignment horizontal="centerContinuous" vertical="center" wrapText="1"/>
      <protection hidden="1"/>
    </xf>
    <xf numFmtId="0" fontId="17" fillId="0" borderId="4" xfId="0" applyFont="1" applyFill="1" applyBorder="1" applyAlignment="1" applyProtection="1">
      <alignment horizontal="centerContinuous" vertical="center" wrapText="1"/>
      <protection hidden="1"/>
    </xf>
    <xf numFmtId="167" fontId="64" fillId="0" borderId="1" xfId="0" applyNumberFormat="1" applyFont="1" applyFill="1" applyBorder="1" applyAlignment="1" applyProtection="1">
      <alignment horizontal="center" vertical="center" wrapText="1"/>
      <protection hidden="1"/>
    </xf>
    <xf numFmtId="2" fontId="64" fillId="0" borderId="1" xfId="0" applyNumberFormat="1" applyFont="1" applyFill="1" applyBorder="1" applyAlignment="1" applyProtection="1">
      <alignment horizontal="center" vertical="center" wrapText="1"/>
      <protection hidden="1"/>
    </xf>
    <xf numFmtId="165" fontId="64" fillId="0" borderId="1" xfId="0" applyNumberFormat="1" applyFont="1" applyFill="1" applyBorder="1" applyAlignment="1" applyProtection="1">
      <alignment horizontal="center" vertical="center" wrapText="1"/>
      <protection hidden="1"/>
    </xf>
    <xf numFmtId="166" fontId="64" fillId="0" borderId="1" xfId="0" applyNumberFormat="1" applyFont="1" applyFill="1" applyBorder="1" applyAlignment="1" applyProtection="1">
      <alignment horizontal="center" vertical="center" wrapText="1"/>
      <protection hidden="1"/>
    </xf>
    <xf numFmtId="0" fontId="56" fillId="2" borderId="0" xfId="0" applyFont="1" applyFill="1" applyProtection="1">
      <protection hidden="1"/>
    </xf>
    <xf numFmtId="0" fontId="35" fillId="2" borderId="78" xfId="0" applyFont="1" applyFill="1" applyBorder="1" applyAlignment="1" applyProtection="1">
      <alignment horizontal="center" vertical="center"/>
      <protection hidden="1"/>
    </xf>
    <xf numFmtId="167" fontId="35" fillId="2" borderId="78" xfId="0" applyNumberFormat="1" applyFont="1" applyFill="1" applyBorder="1" applyAlignment="1" applyProtection="1">
      <alignment horizontal="center" vertical="center"/>
      <protection hidden="1"/>
    </xf>
    <xf numFmtId="167" fontId="56" fillId="2" borderId="0" xfId="0" applyNumberFormat="1" applyFont="1" applyFill="1" applyProtection="1">
      <protection hidden="1"/>
    </xf>
    <xf numFmtId="2" fontId="35" fillId="2" borderId="0" xfId="0" applyNumberFormat="1" applyFont="1" applyFill="1" applyProtection="1">
      <protection hidden="1"/>
    </xf>
    <xf numFmtId="167" fontId="15" fillId="0" borderId="1" xfId="0" applyNumberFormat="1" applyFont="1" applyBorder="1" applyAlignment="1" applyProtection="1">
      <alignment horizontal="center" vertical="center" wrapText="1"/>
      <protection hidden="1"/>
    </xf>
    <xf numFmtId="167" fontId="35" fillId="0" borderId="0" xfId="0" applyNumberFormat="1" applyFont="1" applyProtection="1">
      <protection hidden="1"/>
    </xf>
    <xf numFmtId="0" fontId="35" fillId="0" borderId="0" xfId="0" applyFont="1" applyBorder="1" applyAlignment="1" applyProtection="1">
      <alignment horizontal="center" vertical="center" wrapText="1"/>
      <protection hidden="1"/>
    </xf>
    <xf numFmtId="167" fontId="56" fillId="0" borderId="0" xfId="0" applyNumberFormat="1" applyFont="1" applyProtection="1">
      <protection hidden="1"/>
    </xf>
    <xf numFmtId="0" fontId="15" fillId="0" borderId="1" xfId="0" applyFont="1" applyBorder="1" applyAlignment="1" applyProtection="1">
      <alignment horizontal="center" vertical="center" wrapText="1"/>
      <protection locked="0" hidden="1"/>
    </xf>
    <xf numFmtId="0" fontId="15" fillId="0" borderId="0" xfId="0" applyFont="1" applyBorder="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66" fillId="0" borderId="0" xfId="0" applyFont="1" applyAlignment="1" applyProtection="1">
      <alignment horizontal="left" vertical="center" wrapText="1"/>
      <protection hidden="1"/>
    </xf>
    <xf numFmtId="2" fontId="15" fillId="0" borderId="56" xfId="0" applyNumberFormat="1" applyFont="1" applyBorder="1" applyAlignment="1" applyProtection="1">
      <alignment horizontal="center" wrapText="1"/>
      <protection hidden="1"/>
    </xf>
    <xf numFmtId="0" fontId="37" fillId="0" borderId="66" xfId="0" applyFont="1" applyFill="1" applyBorder="1" applyAlignment="1" applyProtection="1">
      <alignment horizontal="center" wrapText="1"/>
      <protection hidden="1"/>
    </xf>
    <xf numFmtId="166" fontId="15" fillId="0" borderId="34" xfId="0" applyNumberFormat="1" applyFont="1" applyBorder="1" applyAlignment="1" applyProtection="1">
      <alignment horizontal="center" wrapText="1"/>
      <protection hidden="1"/>
    </xf>
    <xf numFmtId="0" fontId="37" fillId="0" borderId="64" xfId="0" applyFont="1" applyFill="1" applyBorder="1" applyAlignment="1" applyProtection="1">
      <alignment horizontal="center" wrapText="1"/>
      <protection hidden="1"/>
    </xf>
    <xf numFmtId="166" fontId="15" fillId="0" borderId="54" xfId="0" applyNumberFormat="1" applyFont="1" applyBorder="1" applyAlignment="1" applyProtection="1">
      <alignment horizontal="center" wrapText="1"/>
      <protection hidden="1"/>
    </xf>
    <xf numFmtId="0" fontId="37" fillId="0" borderId="67" xfId="0" applyFont="1" applyFill="1" applyBorder="1" applyAlignment="1" applyProtection="1">
      <alignment horizontal="center" wrapText="1"/>
      <protection hidden="1"/>
    </xf>
    <xf numFmtId="0" fontId="15" fillId="0" borderId="0" xfId="0" applyFont="1" applyFill="1" applyBorder="1" applyAlignment="1" applyProtection="1">
      <alignment horizontal="left" vertical="center" wrapText="1"/>
      <protection hidden="1"/>
    </xf>
    <xf numFmtId="0" fontId="56" fillId="14" borderId="0" xfId="0" applyFont="1" applyFill="1" applyProtection="1">
      <protection hidden="1"/>
    </xf>
    <xf numFmtId="0" fontId="63" fillId="14" borderId="0" xfId="0" applyFont="1" applyFill="1" applyAlignment="1" applyProtection="1">
      <alignment horizontal="left" vertical="justify" wrapText="1"/>
      <protection hidden="1"/>
    </xf>
    <xf numFmtId="0" fontId="63" fillId="0" borderId="0" xfId="0" applyFont="1" applyAlignment="1" applyProtection="1">
      <alignment horizontal="left" vertical="justify" wrapText="1"/>
      <protection hidden="1"/>
    </xf>
    <xf numFmtId="0" fontId="15" fillId="0" borderId="0" xfId="0" applyFont="1" applyAlignment="1" applyProtection="1">
      <alignment horizontal="center"/>
      <protection hidden="1"/>
    </xf>
    <xf numFmtId="0" fontId="56" fillId="0" borderId="0" xfId="0" applyFont="1" applyAlignment="1" applyProtection="1">
      <alignment horizontal="left"/>
      <protection hidden="1"/>
    </xf>
    <xf numFmtId="0" fontId="35" fillId="24" borderId="0" xfId="6" applyFont="1" applyProtection="1">
      <alignment horizontal="center"/>
      <protection hidden="1"/>
    </xf>
    <xf numFmtId="0" fontId="35" fillId="0" borderId="0" xfId="0" applyFont="1" applyFill="1" applyAlignment="1" applyProtection="1">
      <protection hidden="1"/>
    </xf>
    <xf numFmtId="0" fontId="56" fillId="0" borderId="0" xfId="0" applyFont="1" applyFill="1" applyProtection="1">
      <protection hidden="1"/>
    </xf>
    <xf numFmtId="1" fontId="15" fillId="0" borderId="0" xfId="0" applyNumberFormat="1" applyFont="1" applyAlignment="1" applyProtection="1">
      <alignment horizontal="right" vertical="center" wrapText="1"/>
      <protection hidden="1"/>
    </xf>
    <xf numFmtId="0" fontId="15" fillId="0" borderId="0" xfId="0" applyFont="1" applyAlignment="1" applyProtection="1">
      <alignment horizontal="right" vertical="center" wrapText="1"/>
      <protection hidden="1"/>
    </xf>
    <xf numFmtId="184" fontId="36" fillId="0" borderId="0" xfId="0" applyNumberFormat="1" applyFont="1" applyFill="1" applyAlignment="1" applyProtection="1">
      <alignment horizontal="left" vertical="center" wrapText="1"/>
      <protection hidden="1"/>
    </xf>
    <xf numFmtId="0" fontId="17" fillId="0" borderId="1" xfId="0" applyFont="1" applyFill="1" applyBorder="1" applyAlignment="1" applyProtection="1">
      <alignment horizontal="center" vertical="top" wrapText="1"/>
      <protection hidden="1"/>
    </xf>
    <xf numFmtId="167" fontId="15" fillId="2" borderId="0" xfId="0" applyNumberFormat="1" applyFont="1" applyFill="1" applyAlignment="1" applyProtection="1">
      <alignment horizontal="center" vertical="center" wrapText="1"/>
      <protection hidden="1"/>
    </xf>
    <xf numFmtId="0" fontId="36" fillId="2" borderId="31" xfId="0" applyFont="1" applyFill="1" applyBorder="1" applyAlignment="1" applyProtection="1">
      <alignment horizontal="center" vertical="center"/>
      <protection hidden="1"/>
    </xf>
    <xf numFmtId="167" fontId="36" fillId="2" borderId="9" xfId="0" applyNumberFormat="1" applyFont="1" applyFill="1" applyBorder="1" applyAlignment="1" applyProtection="1">
      <alignment horizontal="center" vertical="center"/>
      <protection hidden="1"/>
    </xf>
    <xf numFmtId="0" fontId="36" fillId="2" borderId="9" xfId="0" applyFont="1" applyFill="1" applyBorder="1" applyAlignment="1" applyProtection="1">
      <alignment horizontal="center" vertical="center"/>
      <protection hidden="1"/>
    </xf>
    <xf numFmtId="0" fontId="36" fillId="2" borderId="33" xfId="0" applyFont="1" applyFill="1" applyBorder="1" applyAlignment="1" applyProtection="1">
      <alignment horizontal="center" vertical="center"/>
      <protection hidden="1"/>
    </xf>
    <xf numFmtId="166" fontId="36" fillId="2" borderId="8" xfId="0" applyNumberFormat="1" applyFont="1" applyFill="1" applyBorder="1" applyAlignment="1" applyProtection="1">
      <alignment horizontal="center" vertical="center"/>
      <protection hidden="1"/>
    </xf>
    <xf numFmtId="169" fontId="35" fillId="0" borderId="0" xfId="0" applyNumberFormat="1" applyFont="1" applyFill="1" applyAlignment="1" applyProtection="1">
      <protection hidden="1"/>
    </xf>
    <xf numFmtId="179" fontId="36" fillId="0" borderId="0" xfId="0" applyNumberFormat="1" applyFont="1" applyFill="1" applyAlignment="1" applyProtection="1">
      <alignment horizontal="left" vertical="center" wrapText="1"/>
      <protection hidden="1"/>
    </xf>
    <xf numFmtId="0" fontId="36" fillId="0" borderId="0" xfId="0" applyFont="1" applyAlignment="1" applyProtection="1">
      <alignment horizontal="left" vertical="center" wrapText="1"/>
      <protection hidden="1"/>
    </xf>
    <xf numFmtId="178" fontId="36" fillId="0" borderId="0" xfId="0" applyNumberFormat="1" applyFont="1" applyFill="1" applyAlignment="1" applyProtection="1">
      <alignment horizontal="left" vertical="center" wrapText="1"/>
      <protection hidden="1"/>
    </xf>
    <xf numFmtId="0" fontId="36" fillId="2" borderId="0" xfId="0" applyFont="1" applyFill="1" applyAlignment="1" applyProtection="1">
      <alignment vertical="center" wrapText="1"/>
      <protection hidden="1"/>
    </xf>
    <xf numFmtId="0" fontId="36" fillId="0" borderId="0" xfId="0" applyFont="1" applyAlignment="1" applyProtection="1">
      <alignment vertical="center" wrapText="1"/>
      <protection hidden="1"/>
    </xf>
    <xf numFmtId="14" fontId="68" fillId="0" borderId="39" xfId="0" applyNumberFormat="1" applyFont="1" applyBorder="1" applyAlignment="1" applyProtection="1">
      <alignment horizontal="center" vertical="center" wrapText="1"/>
      <protection hidden="1"/>
    </xf>
    <xf numFmtId="0" fontId="68" fillId="0" borderId="9" xfId="0" applyFont="1" applyBorder="1" applyAlignment="1" applyProtection="1">
      <alignment horizontal="center" vertical="center" wrapText="1"/>
      <protection hidden="1"/>
    </xf>
    <xf numFmtId="0" fontId="68" fillId="0" borderId="42" xfId="0" applyFont="1" applyFill="1" applyBorder="1" applyAlignment="1" applyProtection="1">
      <alignment horizontal="center" vertical="center" wrapText="1"/>
      <protection hidden="1"/>
    </xf>
    <xf numFmtId="0" fontId="68" fillId="0" borderId="69" xfId="0" applyFont="1" applyFill="1" applyBorder="1" applyAlignment="1" applyProtection="1">
      <alignment horizontal="center" vertical="center" wrapText="1"/>
      <protection hidden="1"/>
    </xf>
    <xf numFmtId="0" fontId="68" fillId="0" borderId="1" xfId="0" applyFont="1" applyFill="1" applyBorder="1" applyAlignment="1" applyProtection="1">
      <alignment horizontal="center" vertical="center" wrapText="1"/>
      <protection hidden="1"/>
    </xf>
    <xf numFmtId="0" fontId="68" fillId="0" borderId="69" xfId="0" applyFont="1" applyBorder="1" applyAlignment="1" applyProtection="1">
      <alignment horizontal="center" vertical="center" wrapText="1"/>
      <protection hidden="1"/>
    </xf>
    <xf numFmtId="0" fontId="68" fillId="2" borderId="1" xfId="0" applyFont="1" applyFill="1" applyBorder="1" applyAlignment="1" applyProtection="1">
      <alignment horizontal="center" vertical="center" wrapText="1"/>
      <protection hidden="1"/>
    </xf>
    <xf numFmtId="0" fontId="17" fillId="0" borderId="1" xfId="0" applyFont="1" applyFill="1" applyBorder="1" applyAlignment="1" applyProtection="1">
      <alignment horizontal="center" vertical="center" wrapText="1"/>
      <protection hidden="1"/>
    </xf>
    <xf numFmtId="165" fontId="68" fillId="0" borderId="1" xfId="0" applyNumberFormat="1" applyFont="1" applyFill="1" applyBorder="1" applyAlignment="1" applyProtection="1">
      <alignment horizontal="centerContinuous" vertical="center" wrapText="1"/>
      <protection hidden="1"/>
    </xf>
    <xf numFmtId="2" fontId="68" fillId="0" borderId="1" xfId="0" applyNumberFormat="1" applyFont="1" applyFill="1" applyBorder="1" applyAlignment="1" applyProtection="1">
      <alignment horizontal="centerContinuous" vertical="center" wrapText="1"/>
      <protection hidden="1"/>
    </xf>
    <xf numFmtId="0" fontId="68" fillId="0" borderId="6" xfId="0" applyFont="1" applyFill="1" applyBorder="1" applyAlignment="1" applyProtection="1">
      <alignment horizontal="center" vertical="center" wrapText="1"/>
      <protection hidden="1"/>
    </xf>
    <xf numFmtId="0" fontId="70" fillId="0" borderId="0" xfId="0" applyFont="1" applyProtection="1">
      <protection hidden="1"/>
    </xf>
    <xf numFmtId="0" fontId="14" fillId="0" borderId="0" xfId="0" applyFont="1" applyAlignment="1" applyProtection="1">
      <alignment horizontal="center" vertical="center" wrapText="1"/>
      <protection hidden="1"/>
    </xf>
    <xf numFmtId="0" fontId="14" fillId="0" borderId="0" xfId="0" applyFont="1" applyAlignment="1" applyProtection="1">
      <alignment horizontal="center"/>
      <protection hidden="1"/>
    </xf>
    <xf numFmtId="0" fontId="70" fillId="0" borderId="0" xfId="0" applyFont="1" applyBorder="1" applyAlignment="1" applyProtection="1">
      <alignment horizontal="center" vertical="center" wrapText="1"/>
      <protection hidden="1"/>
    </xf>
    <xf numFmtId="0" fontId="70" fillId="0" borderId="0" xfId="0" applyFont="1" applyBorder="1" applyAlignment="1" applyProtection="1">
      <alignment vertical="center" wrapText="1"/>
      <protection hidden="1"/>
    </xf>
    <xf numFmtId="0" fontId="6" fillId="0" borderId="0" xfId="0" applyFont="1" applyFill="1" applyBorder="1" applyAlignment="1" applyProtection="1">
      <alignment horizontal="center" vertical="center"/>
      <protection hidden="1"/>
    </xf>
    <xf numFmtId="169" fontId="23" fillId="14" borderId="17" xfId="0" applyNumberFormat="1" applyFont="1" applyFill="1" applyBorder="1" applyAlignment="1">
      <alignment horizontal="center" vertical="center" wrapText="1"/>
    </xf>
    <xf numFmtId="169" fontId="23" fillId="14" borderId="39" xfId="0" applyNumberFormat="1" applyFont="1" applyFill="1" applyBorder="1" applyAlignment="1">
      <alignment horizontal="center" vertical="center" wrapText="1"/>
    </xf>
    <xf numFmtId="0" fontId="8" fillId="2" borderId="0" xfId="0" applyFont="1" applyFill="1" applyBorder="1" applyAlignment="1" applyProtection="1">
      <alignment horizontal="center" vertical="center" wrapText="1"/>
      <protection hidden="1"/>
    </xf>
    <xf numFmtId="1" fontId="6" fillId="31" borderId="39" xfId="0" applyNumberFormat="1" applyFont="1" applyFill="1" applyBorder="1" applyAlignment="1" applyProtection="1">
      <alignment horizontal="center" vertical="center"/>
      <protection hidden="1"/>
    </xf>
    <xf numFmtId="1" fontId="6" fillId="31" borderId="9" xfId="0" applyNumberFormat="1" applyFont="1" applyFill="1" applyBorder="1" applyAlignment="1" applyProtection="1">
      <alignment horizontal="center" vertical="center"/>
      <protection hidden="1"/>
    </xf>
    <xf numFmtId="1" fontId="6" fillId="31" borderId="42" xfId="0" applyNumberFormat="1" applyFont="1" applyFill="1" applyBorder="1" applyAlignment="1" applyProtection="1">
      <alignment horizontal="center" vertical="center"/>
      <protection hidden="1"/>
    </xf>
    <xf numFmtId="0" fontId="1" fillId="5" borderId="76" xfId="0" applyFont="1" applyFill="1" applyBorder="1" applyAlignment="1" applyProtection="1">
      <alignment horizontal="center" vertical="center"/>
      <protection hidden="1"/>
    </xf>
    <xf numFmtId="1" fontId="6" fillId="7" borderId="39" xfId="0" applyNumberFormat="1" applyFont="1" applyFill="1" applyBorder="1" applyAlignment="1" applyProtection="1">
      <alignment horizontal="center" vertical="center" wrapText="1"/>
      <protection hidden="1"/>
    </xf>
    <xf numFmtId="0" fontId="1" fillId="7" borderId="9" xfId="0" applyFont="1" applyFill="1" applyBorder="1" applyAlignment="1" applyProtection="1">
      <alignment horizontal="center" vertical="center" wrapText="1"/>
      <protection hidden="1"/>
    </xf>
    <xf numFmtId="0" fontId="1" fillId="7" borderId="39" xfId="0" applyFont="1" applyFill="1" applyBorder="1" applyAlignment="1" applyProtection="1">
      <alignment horizontal="center" vertical="center" wrapText="1"/>
      <protection hidden="1"/>
    </xf>
    <xf numFmtId="1" fontId="6" fillId="7" borderId="42" xfId="0" applyNumberFormat="1" applyFont="1" applyFill="1" applyBorder="1" applyAlignment="1" applyProtection="1">
      <alignment horizontal="center" vertical="center" wrapText="1"/>
      <protection hidden="1"/>
    </xf>
    <xf numFmtId="0" fontId="1" fillId="31" borderId="9" xfId="0" applyFont="1" applyFill="1" applyBorder="1" applyAlignment="1" applyProtection="1">
      <alignment horizontal="center" vertical="center" wrapText="1"/>
      <protection locked="0" hidden="1"/>
    </xf>
    <xf numFmtId="0" fontId="1" fillId="31" borderId="9" xfId="0" applyFont="1" applyFill="1" applyBorder="1" applyAlignment="1" applyProtection="1">
      <alignment horizontal="center" vertical="center"/>
      <protection locked="0" hidden="1"/>
    </xf>
    <xf numFmtId="0" fontId="1" fillId="31" borderId="33" xfId="0" applyFont="1" applyFill="1" applyBorder="1" applyAlignment="1" applyProtection="1">
      <alignment horizontal="center" vertical="center"/>
      <protection locked="0" hidden="1"/>
    </xf>
    <xf numFmtId="2" fontId="7" fillId="14" borderId="71" xfId="1" applyNumberFormat="1" applyFont="1" applyFill="1" applyBorder="1" applyAlignment="1" applyProtection="1">
      <alignment horizontal="center" vertical="center" wrapText="1"/>
      <protection hidden="1"/>
    </xf>
    <xf numFmtId="14" fontId="1" fillId="7" borderId="42" xfId="0" applyNumberFormat="1" applyFont="1" applyFill="1" applyBorder="1" applyAlignment="1" applyProtection="1">
      <alignment horizontal="center" vertical="center" wrapText="1"/>
      <protection hidden="1"/>
    </xf>
    <xf numFmtId="169" fontId="1" fillId="31" borderId="9" xfId="0" applyNumberFormat="1" applyFont="1" applyFill="1" applyBorder="1" applyAlignment="1" applyProtection="1">
      <alignment horizontal="center" vertical="center" wrapText="1"/>
      <protection locked="0" hidden="1"/>
    </xf>
    <xf numFmtId="0" fontId="8" fillId="2" borderId="0" xfId="0" applyFont="1" applyFill="1" applyBorder="1" applyAlignment="1" applyProtection="1">
      <alignment horizontal="center" vertical="center" wrapText="1"/>
      <protection hidden="1"/>
    </xf>
    <xf numFmtId="0" fontId="1" fillId="7" borderId="39" xfId="0" applyFont="1" applyFill="1" applyBorder="1" applyAlignment="1" applyProtection="1">
      <alignment horizontal="center" vertical="center"/>
      <protection hidden="1"/>
    </xf>
    <xf numFmtId="0" fontId="1" fillId="31" borderId="39" xfId="0" applyFont="1" applyFill="1" applyBorder="1" applyAlignment="1" applyProtection="1">
      <alignment horizontal="center" vertical="center"/>
      <protection hidden="1"/>
    </xf>
    <xf numFmtId="166" fontId="1" fillId="7" borderId="39" xfId="0" applyNumberFormat="1" applyFont="1" applyFill="1" applyBorder="1" applyAlignment="1" applyProtection="1">
      <alignment horizontal="center" vertical="center"/>
      <protection hidden="1"/>
    </xf>
    <xf numFmtId="165" fontId="1" fillId="31" borderId="40" xfId="0" applyNumberFormat="1" applyFont="1" applyFill="1" applyBorder="1" applyAlignment="1" applyProtection="1">
      <alignment horizontal="center" vertical="center"/>
      <protection hidden="1"/>
    </xf>
    <xf numFmtId="0" fontId="7" fillId="0" borderId="0" xfId="0" applyFont="1" applyFill="1" applyBorder="1" applyAlignment="1" applyProtection="1">
      <alignment vertical="center" textRotation="90" wrapText="1"/>
      <protection hidden="1"/>
    </xf>
    <xf numFmtId="0" fontId="1" fillId="0" borderId="0" xfId="0" applyFont="1" applyFill="1" applyBorder="1" applyAlignment="1" applyProtection="1">
      <alignment horizontal="center" vertical="center" wrapText="1"/>
      <protection hidden="1"/>
    </xf>
    <xf numFmtId="1" fontId="1" fillId="0" borderId="0" xfId="0" applyNumberFormat="1" applyFont="1" applyFill="1" applyBorder="1" applyAlignment="1" applyProtection="1">
      <alignment vertical="center" wrapText="1"/>
      <protection hidden="1"/>
    </xf>
    <xf numFmtId="1" fontId="6" fillId="0" borderId="0" xfId="0" applyNumberFormat="1" applyFont="1" applyFill="1" applyBorder="1" applyAlignment="1" applyProtection="1">
      <alignment horizontal="center" vertical="center"/>
      <protection hidden="1"/>
    </xf>
    <xf numFmtId="14" fontId="6" fillId="0" borderId="0" xfId="0" applyNumberFormat="1" applyFont="1" applyFill="1" applyBorder="1" applyAlignment="1" applyProtection="1">
      <alignment vertical="center"/>
      <protection hidden="1"/>
    </xf>
    <xf numFmtId="182" fontId="6" fillId="0" borderId="0" xfId="0" applyNumberFormat="1" applyFont="1" applyFill="1" applyBorder="1" applyAlignment="1" applyProtection="1">
      <alignment horizontal="center" vertical="center"/>
      <protection hidden="1"/>
    </xf>
    <xf numFmtId="1" fontId="6" fillId="0" borderId="0" xfId="0" applyNumberFormat="1" applyFont="1" applyFill="1" applyBorder="1" applyAlignment="1" applyProtection="1">
      <alignment horizontal="center" vertical="center" wrapText="1"/>
      <protection hidden="1"/>
    </xf>
    <xf numFmtId="169" fontId="1" fillId="31" borderId="39" xfId="0" applyNumberFormat="1" applyFont="1" applyFill="1" applyBorder="1" applyAlignment="1" applyProtection="1">
      <alignment horizontal="center" vertical="center"/>
      <protection hidden="1"/>
    </xf>
    <xf numFmtId="182" fontId="1" fillId="7" borderId="39" xfId="0" applyNumberFormat="1" applyFont="1" applyFill="1" applyBorder="1" applyAlignment="1" applyProtection="1">
      <alignment horizontal="center" vertical="center"/>
      <protection hidden="1"/>
    </xf>
    <xf numFmtId="0" fontId="1" fillId="7" borderId="42" xfId="0" applyFont="1" applyFill="1" applyBorder="1" applyAlignment="1" applyProtection="1">
      <alignment horizontal="center" vertical="center" wrapText="1"/>
      <protection hidden="1"/>
    </xf>
    <xf numFmtId="1" fontId="1" fillId="7" borderId="42" xfId="0" applyNumberFormat="1" applyFont="1" applyFill="1" applyBorder="1" applyAlignment="1" applyProtection="1">
      <alignment vertical="center" wrapText="1"/>
      <protection hidden="1"/>
    </xf>
    <xf numFmtId="182" fontId="6" fillId="7" borderId="42" xfId="0" applyNumberFormat="1" applyFont="1" applyFill="1" applyBorder="1" applyAlignment="1" applyProtection="1">
      <alignment horizontal="center" vertical="center"/>
      <protection hidden="1"/>
    </xf>
    <xf numFmtId="1" fontId="1" fillId="7" borderId="39" xfId="0" applyNumberFormat="1" applyFont="1" applyFill="1" applyBorder="1" applyAlignment="1" applyProtection="1">
      <alignment horizontal="center" vertical="center" wrapText="1"/>
      <protection hidden="1"/>
    </xf>
    <xf numFmtId="0" fontId="72" fillId="7" borderId="39" xfId="0" applyFont="1" applyFill="1" applyBorder="1" applyAlignment="1" applyProtection="1">
      <alignment horizontal="center" vertical="center" wrapText="1"/>
      <protection hidden="1"/>
    </xf>
    <xf numFmtId="0" fontId="7" fillId="16" borderId="67" xfId="0" applyFont="1" applyFill="1" applyBorder="1" applyAlignment="1" applyProtection="1">
      <alignment horizontal="center" vertical="center" wrapText="1"/>
      <protection hidden="1"/>
    </xf>
    <xf numFmtId="0" fontId="6" fillId="29" borderId="65" xfId="0" applyFont="1" applyFill="1" applyBorder="1" applyAlignment="1" applyProtection="1">
      <alignment vertical="center" wrapText="1"/>
      <protection hidden="1"/>
    </xf>
    <xf numFmtId="0" fontId="45" fillId="29" borderId="15" xfId="0" applyFont="1" applyFill="1" applyBorder="1" applyAlignment="1" applyProtection="1">
      <alignment vertical="center" wrapText="1"/>
      <protection hidden="1"/>
    </xf>
    <xf numFmtId="0" fontId="45" fillId="29" borderId="51" xfId="0" applyFont="1" applyFill="1" applyBorder="1" applyAlignment="1" applyProtection="1">
      <alignment vertical="center" wrapText="1"/>
      <protection hidden="1"/>
    </xf>
    <xf numFmtId="0" fontId="45" fillId="30" borderId="15" xfId="0" applyFont="1" applyFill="1" applyBorder="1" applyAlignment="1" applyProtection="1">
      <alignment vertical="center" wrapText="1"/>
      <protection hidden="1"/>
    </xf>
    <xf numFmtId="0" fontId="6" fillId="29" borderId="39" xfId="0" applyFont="1" applyFill="1" applyBorder="1" applyAlignment="1" applyProtection="1">
      <alignment vertical="center"/>
      <protection hidden="1"/>
    </xf>
    <xf numFmtId="0" fontId="6" fillId="29" borderId="9" xfId="0" applyFont="1" applyFill="1" applyBorder="1" applyAlignment="1" applyProtection="1">
      <alignment vertical="center"/>
      <protection hidden="1"/>
    </xf>
    <xf numFmtId="0" fontId="6" fillId="29" borderId="42" xfId="0" applyFont="1" applyFill="1" applyBorder="1" applyAlignment="1" applyProtection="1">
      <alignment vertical="center"/>
      <protection hidden="1"/>
    </xf>
    <xf numFmtId="3" fontId="6" fillId="29" borderId="28" xfId="0" applyNumberFormat="1" applyFont="1" applyFill="1" applyBorder="1" applyAlignment="1" applyProtection="1">
      <alignment vertical="center" wrapText="1"/>
      <protection hidden="1"/>
    </xf>
    <xf numFmtId="0" fontId="45" fillId="29" borderId="23" xfId="0" applyFont="1" applyFill="1" applyBorder="1" applyAlignment="1" applyProtection="1">
      <alignment vertical="center" wrapText="1"/>
      <protection hidden="1"/>
    </xf>
    <xf numFmtId="0" fontId="6" fillId="30" borderId="15" xfId="0" applyFont="1" applyFill="1" applyBorder="1" applyAlignment="1" applyProtection="1">
      <alignment vertical="center"/>
      <protection hidden="1"/>
    </xf>
    <xf numFmtId="3" fontId="6" fillId="30" borderId="23" xfId="0" applyNumberFormat="1" applyFont="1" applyFill="1" applyBorder="1" applyAlignment="1" applyProtection="1">
      <alignment vertical="center" wrapText="1"/>
      <protection hidden="1"/>
    </xf>
    <xf numFmtId="0" fontId="45" fillId="30" borderId="23" xfId="0" applyFont="1" applyFill="1" applyBorder="1" applyAlignment="1" applyProtection="1">
      <alignment vertical="center" wrapText="1"/>
      <protection hidden="1"/>
    </xf>
    <xf numFmtId="49" fontId="6" fillId="29" borderId="28" xfId="0" applyNumberFormat="1" applyFont="1" applyFill="1" applyBorder="1" applyAlignment="1" applyProtection="1">
      <alignment vertical="center" wrapText="1"/>
      <protection hidden="1"/>
    </xf>
    <xf numFmtId="0" fontId="6" fillId="31" borderId="28" xfId="0" applyFont="1" applyFill="1" applyBorder="1" applyAlignment="1" applyProtection="1">
      <alignment horizontal="center" vertical="center"/>
      <protection hidden="1"/>
    </xf>
    <xf numFmtId="0" fontId="1" fillId="14" borderId="49" xfId="0" applyFont="1" applyFill="1" applyBorder="1" applyAlignment="1" applyProtection="1">
      <alignment horizontal="center" vertical="center" wrapText="1"/>
      <protection hidden="1"/>
    </xf>
    <xf numFmtId="0" fontId="6" fillId="14" borderId="28" xfId="0" applyFont="1" applyFill="1" applyBorder="1" applyAlignment="1" applyProtection="1">
      <alignment horizontal="center" vertical="center"/>
      <protection hidden="1"/>
    </xf>
    <xf numFmtId="169" fontId="6" fillId="14" borderId="15" xfId="0" applyNumberFormat="1" applyFont="1" applyFill="1" applyBorder="1" applyAlignment="1" applyProtection="1">
      <alignment horizontal="center" vertical="center"/>
      <protection hidden="1"/>
    </xf>
    <xf numFmtId="0" fontId="6" fillId="14" borderId="11" xfId="0" applyFont="1" applyFill="1" applyBorder="1" applyAlignment="1" applyProtection="1">
      <alignment horizontal="center" vertical="center"/>
      <protection hidden="1"/>
    </xf>
    <xf numFmtId="0" fontId="6" fillId="14" borderId="53" xfId="0" applyFont="1" applyFill="1" applyBorder="1" applyAlignment="1" applyProtection="1">
      <alignment horizontal="center" vertical="center"/>
      <protection hidden="1"/>
    </xf>
    <xf numFmtId="169" fontId="6" fillId="14" borderId="12" xfId="0" applyNumberFormat="1" applyFont="1" applyFill="1" applyBorder="1" applyAlignment="1" applyProtection="1">
      <alignment horizontal="center" vertical="center"/>
      <protection hidden="1"/>
    </xf>
    <xf numFmtId="169" fontId="23" fillId="14" borderId="9" xfId="0" applyNumberFormat="1" applyFont="1" applyFill="1" applyBorder="1" applyAlignment="1">
      <alignment horizontal="center" vertical="center" wrapText="1"/>
    </xf>
    <xf numFmtId="169" fontId="6" fillId="14" borderId="39" xfId="0" applyNumberFormat="1" applyFont="1" applyFill="1" applyBorder="1" applyAlignment="1" applyProtection="1">
      <alignment horizontal="center" vertical="center" wrapText="1"/>
      <protection hidden="1"/>
    </xf>
    <xf numFmtId="169" fontId="6" fillId="14" borderId="9" xfId="0" applyNumberFormat="1" applyFont="1" applyFill="1" applyBorder="1" applyAlignment="1" applyProtection="1">
      <alignment horizontal="center" vertical="center" wrapText="1"/>
      <protection hidden="1"/>
    </xf>
    <xf numFmtId="169" fontId="6" fillId="14" borderId="39" xfId="0" applyNumberFormat="1" applyFont="1" applyFill="1" applyBorder="1" applyAlignment="1" applyProtection="1">
      <alignment vertical="center" wrapText="1"/>
      <protection hidden="1"/>
    </xf>
    <xf numFmtId="169" fontId="6" fillId="14" borderId="9" xfId="0" applyNumberFormat="1" applyFont="1" applyFill="1" applyBorder="1" applyAlignment="1" applyProtection="1">
      <alignment vertical="center" wrapText="1"/>
      <protection hidden="1"/>
    </xf>
    <xf numFmtId="0" fontId="7" fillId="0" borderId="0" xfId="0" applyFont="1" applyFill="1" applyBorder="1" applyAlignment="1" applyProtection="1">
      <alignment horizontal="center" vertical="center" wrapText="1"/>
      <protection hidden="1"/>
    </xf>
    <xf numFmtId="1" fontId="1" fillId="31" borderId="39" xfId="0" applyNumberFormat="1" applyFont="1" applyFill="1" applyBorder="1" applyAlignment="1" applyProtection="1">
      <alignment horizontal="center" vertical="center"/>
      <protection hidden="1"/>
    </xf>
    <xf numFmtId="11" fontId="1" fillId="7" borderId="39" xfId="0" applyNumberFormat="1" applyFont="1" applyFill="1" applyBorder="1" applyAlignment="1" applyProtection="1">
      <alignment horizontal="center" vertical="center"/>
      <protection hidden="1"/>
    </xf>
    <xf numFmtId="0" fontId="14" fillId="0" borderId="0" xfId="0" applyFont="1" applyFill="1" applyBorder="1" applyAlignment="1" applyProtection="1">
      <alignment vertical="center" wrapText="1"/>
      <protection hidden="1"/>
    </xf>
    <xf numFmtId="1" fontId="8" fillId="0" borderId="0" xfId="0" applyNumberFormat="1" applyFont="1" applyFill="1" applyBorder="1" applyAlignment="1" applyProtection="1">
      <alignment horizontal="center" vertical="center" wrapText="1"/>
      <protection hidden="1"/>
    </xf>
    <xf numFmtId="0" fontId="7" fillId="16" borderId="6" xfId="0" applyFont="1" applyFill="1" applyBorder="1" applyAlignment="1" applyProtection="1">
      <alignment horizontal="center" vertical="center" wrapText="1"/>
      <protection hidden="1"/>
    </xf>
    <xf numFmtId="0" fontId="8" fillId="0" borderId="0" xfId="0" applyFont="1" applyFill="1" applyBorder="1" applyAlignment="1" applyProtection="1">
      <alignment horizontal="center" vertical="center" wrapText="1"/>
      <protection hidden="1"/>
    </xf>
    <xf numFmtId="14" fontId="8" fillId="0" borderId="0" xfId="0" applyNumberFormat="1" applyFont="1" applyFill="1" applyBorder="1" applyAlignment="1" applyProtection="1">
      <alignment horizontal="center" vertical="center" wrapText="1"/>
      <protection hidden="1"/>
    </xf>
    <xf numFmtId="2" fontId="8" fillId="0" borderId="0" xfId="0" applyNumberFormat="1" applyFont="1" applyFill="1" applyBorder="1" applyAlignment="1" applyProtection="1">
      <alignment horizontal="center" vertical="center" wrapText="1"/>
      <protection hidden="1"/>
    </xf>
    <xf numFmtId="165" fontId="8" fillId="0" borderId="0" xfId="0" applyNumberFormat="1" applyFont="1" applyFill="1" applyBorder="1" applyAlignment="1" applyProtection="1">
      <alignment horizontal="center" vertical="center" wrapText="1"/>
      <protection hidden="1"/>
    </xf>
    <xf numFmtId="166" fontId="8" fillId="0" borderId="0" xfId="0" applyNumberFormat="1" applyFont="1" applyFill="1" applyBorder="1" applyAlignment="1" applyProtection="1">
      <alignment horizontal="center" vertical="center" wrapText="1"/>
      <protection hidden="1"/>
    </xf>
    <xf numFmtId="171" fontId="8" fillId="0" borderId="0" xfId="0" applyNumberFormat="1" applyFont="1" applyFill="1" applyBorder="1" applyAlignment="1" applyProtection="1">
      <alignment horizontal="center" vertical="center" wrapText="1"/>
      <protection hidden="1"/>
    </xf>
    <xf numFmtId="169" fontId="8" fillId="0" borderId="0" xfId="0" applyNumberFormat="1" applyFont="1" applyFill="1" applyBorder="1" applyAlignment="1" applyProtection="1">
      <alignment horizontal="center" vertical="center" wrapText="1"/>
      <protection hidden="1"/>
    </xf>
    <xf numFmtId="0" fontId="12" fillId="0" borderId="0" xfId="6" applyFont="1" applyFill="1" applyBorder="1" applyAlignment="1" applyProtection="1">
      <alignment horizontal="center" vertical="center" wrapText="1"/>
      <protection locked="0" hidden="1"/>
    </xf>
    <xf numFmtId="0" fontId="1" fillId="2" borderId="0" xfId="0" applyFont="1" applyFill="1" applyBorder="1" applyAlignment="1" applyProtection="1">
      <alignment vertical="center" wrapText="1"/>
      <protection hidden="1"/>
    </xf>
    <xf numFmtId="0" fontId="1" fillId="12" borderId="33" xfId="0" applyFont="1" applyFill="1" applyBorder="1" applyAlignment="1" applyProtection="1">
      <alignment horizontal="center" vertical="center" wrapText="1"/>
      <protection hidden="1"/>
    </xf>
    <xf numFmtId="0" fontId="1" fillId="2" borderId="0" xfId="0" applyFont="1" applyFill="1" applyAlignment="1" applyProtection="1">
      <alignment vertical="center" wrapText="1"/>
      <protection hidden="1"/>
    </xf>
    <xf numFmtId="0" fontId="1" fillId="7" borderId="31" xfId="0" applyFont="1" applyFill="1" applyBorder="1" applyAlignment="1" applyProtection="1">
      <alignment horizontal="center" vertical="center" wrapText="1"/>
      <protection hidden="1"/>
    </xf>
    <xf numFmtId="166" fontId="1" fillId="7" borderId="33" xfId="0" applyNumberFormat="1" applyFont="1" applyFill="1" applyBorder="1" applyAlignment="1" applyProtection="1">
      <alignment horizontal="center" vertical="center" wrapText="1"/>
      <protection hidden="1"/>
    </xf>
    <xf numFmtId="0" fontId="1" fillId="7" borderId="41" xfId="0" applyFont="1" applyFill="1" applyBorder="1" applyAlignment="1" applyProtection="1">
      <alignment horizontal="center" vertical="center" wrapText="1"/>
      <protection hidden="1"/>
    </xf>
    <xf numFmtId="2" fontId="1" fillId="7" borderId="36" xfId="0" applyNumberFormat="1" applyFont="1" applyFill="1" applyBorder="1" applyAlignment="1" applyProtection="1">
      <alignment horizontal="center" vertical="center" wrapText="1"/>
      <protection hidden="1"/>
    </xf>
    <xf numFmtId="0" fontId="8" fillId="0" borderId="0" xfId="0" applyFont="1" applyFill="1" applyBorder="1" applyAlignment="1" applyProtection="1">
      <alignment vertical="center" wrapText="1"/>
      <protection locked="0" hidden="1"/>
    </xf>
    <xf numFmtId="189" fontId="6" fillId="31" borderId="39" xfId="0" applyNumberFormat="1" applyFont="1" applyFill="1" applyBorder="1" applyAlignment="1" applyProtection="1">
      <alignment horizontal="center" vertical="center"/>
      <protection hidden="1"/>
    </xf>
    <xf numFmtId="0" fontId="8" fillId="2" borderId="0" xfId="0" applyFont="1" applyFill="1" applyBorder="1" applyAlignment="1" applyProtection="1">
      <alignment horizontal="center" vertical="center" wrapText="1"/>
      <protection hidden="1"/>
    </xf>
    <xf numFmtId="0" fontId="8" fillId="2" borderId="0" xfId="0" applyFont="1" applyFill="1" applyBorder="1" applyAlignment="1" applyProtection="1">
      <alignment horizontal="center" vertical="center" wrapText="1"/>
      <protection hidden="1"/>
    </xf>
    <xf numFmtId="167" fontId="0" fillId="0" borderId="0" xfId="0" applyNumberFormat="1"/>
    <xf numFmtId="167" fontId="0" fillId="0" borderId="0" xfId="0" applyNumberFormat="1" applyAlignment="1">
      <alignment horizontal="center"/>
    </xf>
    <xf numFmtId="1" fontId="0" fillId="0" borderId="0" xfId="0" applyNumberFormat="1" applyAlignment="1">
      <alignment horizontal="center"/>
    </xf>
    <xf numFmtId="0" fontId="1" fillId="7" borderId="66" xfId="0" applyFont="1" applyFill="1" applyBorder="1" applyAlignment="1" applyProtection="1">
      <alignment horizontal="center" vertical="center" wrapText="1"/>
      <protection hidden="1"/>
    </xf>
    <xf numFmtId="0" fontId="1" fillId="7" borderId="64" xfId="0" applyFont="1" applyFill="1" applyBorder="1" applyAlignment="1" applyProtection="1">
      <alignment horizontal="center" vertical="center" wrapText="1"/>
      <protection hidden="1"/>
    </xf>
    <xf numFmtId="0" fontId="1" fillId="7" borderId="67" xfId="0" applyFont="1" applyFill="1" applyBorder="1" applyAlignment="1" applyProtection="1">
      <alignment horizontal="center" vertical="center" wrapText="1"/>
      <protection hidden="1"/>
    </xf>
    <xf numFmtId="1" fontId="1" fillId="7" borderId="38" xfId="0" applyNumberFormat="1" applyFont="1" applyFill="1" applyBorder="1" applyAlignment="1" applyProtection="1">
      <alignment horizontal="center" vertical="center" wrapText="1"/>
      <protection hidden="1"/>
    </xf>
    <xf numFmtId="169" fontId="6" fillId="31" borderId="40" xfId="0" applyNumberFormat="1" applyFont="1" applyFill="1" applyBorder="1" applyAlignment="1" applyProtection="1">
      <alignment horizontal="center" vertical="center"/>
      <protection hidden="1"/>
    </xf>
    <xf numFmtId="1" fontId="1" fillId="7" borderId="31" xfId="0" applyNumberFormat="1" applyFont="1" applyFill="1" applyBorder="1" applyAlignment="1" applyProtection="1">
      <alignment horizontal="center" vertical="center" wrapText="1"/>
      <protection hidden="1"/>
    </xf>
    <xf numFmtId="169" fontId="6" fillId="31" borderId="33" xfId="0" applyNumberFormat="1" applyFont="1" applyFill="1" applyBorder="1" applyAlignment="1" applyProtection="1">
      <alignment horizontal="center" vertical="center"/>
      <protection hidden="1"/>
    </xf>
    <xf numFmtId="1" fontId="1" fillId="7" borderId="41" xfId="0" applyNumberFormat="1" applyFont="1" applyFill="1" applyBorder="1" applyAlignment="1" applyProtection="1">
      <alignment horizontal="center" vertical="center" wrapText="1"/>
      <protection hidden="1"/>
    </xf>
    <xf numFmtId="169" fontId="6" fillId="31" borderId="36" xfId="0" applyNumberFormat="1" applyFont="1" applyFill="1" applyBorder="1" applyAlignment="1" applyProtection="1">
      <alignment horizontal="center" vertical="center"/>
      <protection hidden="1"/>
    </xf>
    <xf numFmtId="182" fontId="6" fillId="7" borderId="38" xfId="0" applyNumberFormat="1" applyFont="1" applyFill="1" applyBorder="1" applyAlignment="1" applyProtection="1">
      <alignment horizontal="center" vertical="center"/>
      <protection hidden="1"/>
    </xf>
    <xf numFmtId="182" fontId="6" fillId="7" borderId="31" xfId="0" applyNumberFormat="1" applyFont="1" applyFill="1" applyBorder="1" applyAlignment="1" applyProtection="1">
      <alignment horizontal="center" vertical="center"/>
      <protection hidden="1"/>
    </xf>
    <xf numFmtId="182" fontId="7" fillId="7" borderId="31" xfId="0" applyNumberFormat="1" applyFont="1" applyFill="1" applyBorder="1" applyAlignment="1" applyProtection="1">
      <alignment horizontal="center" vertical="center"/>
      <protection hidden="1"/>
    </xf>
    <xf numFmtId="182" fontId="6" fillId="7" borderId="41" xfId="0" applyNumberFormat="1" applyFont="1" applyFill="1" applyBorder="1" applyAlignment="1" applyProtection="1">
      <alignment horizontal="center" vertical="center"/>
      <protection hidden="1"/>
    </xf>
    <xf numFmtId="0" fontId="7" fillId="16" borderId="7" xfId="0" applyFont="1" applyFill="1" applyBorder="1" applyAlignment="1" applyProtection="1">
      <alignment horizontal="center" vertical="center" wrapText="1"/>
      <protection hidden="1"/>
    </xf>
    <xf numFmtId="0" fontId="79" fillId="24" borderId="69" xfId="6" applyFont="1" applyBorder="1" applyAlignment="1" applyProtection="1">
      <alignment horizontal="center" vertical="center" wrapText="1"/>
      <protection locked="0" hidden="1"/>
    </xf>
    <xf numFmtId="0" fontId="79" fillId="24" borderId="68" xfId="6" applyFont="1" applyBorder="1" applyAlignment="1" applyProtection="1">
      <alignment horizontal="center" vertical="center" wrapText="1"/>
      <protection locked="0" hidden="1"/>
    </xf>
    <xf numFmtId="0" fontId="79" fillId="24" borderId="48" xfId="6" applyFont="1" applyBorder="1" applyAlignment="1" applyProtection="1">
      <alignment horizontal="center" vertical="center" wrapText="1"/>
      <protection locked="0" hidden="1"/>
    </xf>
    <xf numFmtId="0" fontId="79" fillId="24" borderId="37" xfId="6" applyFont="1" applyBorder="1" applyAlignment="1" applyProtection="1">
      <alignment horizontal="center" vertical="center" wrapText="1"/>
      <protection locked="0" hidden="1"/>
    </xf>
    <xf numFmtId="0" fontId="79" fillId="24" borderId="1" xfId="6" applyFont="1" applyBorder="1" applyAlignment="1" applyProtection="1">
      <alignment horizontal="center" vertical="center" wrapText="1"/>
      <protection locked="0" hidden="1"/>
    </xf>
    <xf numFmtId="0" fontId="76" fillId="16" borderId="69" xfId="0" applyFont="1" applyFill="1" applyBorder="1" applyAlignment="1" applyProtection="1">
      <alignment horizontal="center" vertical="center" wrapText="1"/>
      <protection hidden="1"/>
    </xf>
    <xf numFmtId="0" fontId="76" fillId="16" borderId="68" xfId="0" applyFont="1" applyFill="1" applyBorder="1" applyAlignment="1" applyProtection="1">
      <alignment horizontal="center" vertical="center" wrapText="1"/>
      <protection hidden="1"/>
    </xf>
    <xf numFmtId="0" fontId="77" fillId="16" borderId="46" xfId="0" applyNumberFormat="1" applyFont="1" applyFill="1" applyBorder="1" applyAlignment="1" applyProtection="1">
      <alignment horizontal="center" vertical="center" wrapText="1"/>
      <protection hidden="1"/>
    </xf>
    <xf numFmtId="1" fontId="77" fillId="16" borderId="39" xfId="0" applyNumberFormat="1" applyFont="1" applyFill="1" applyBorder="1" applyAlignment="1" applyProtection="1">
      <alignment horizontal="center" vertical="center" wrapText="1"/>
      <protection hidden="1"/>
    </xf>
    <xf numFmtId="14" fontId="77" fillId="12" borderId="9" xfId="0" applyNumberFormat="1" applyFont="1" applyFill="1" applyBorder="1" applyAlignment="1" applyProtection="1">
      <alignment horizontal="center" vertical="center" wrapText="1"/>
      <protection hidden="1"/>
    </xf>
    <xf numFmtId="14" fontId="77" fillId="12" borderId="9" xfId="0" applyNumberFormat="1" applyFont="1" applyFill="1" applyBorder="1" applyAlignment="1" applyProtection="1">
      <alignment horizontal="center" vertical="center"/>
      <protection hidden="1"/>
    </xf>
    <xf numFmtId="14" fontId="77" fillId="12" borderId="39" xfId="0" applyNumberFormat="1" applyFont="1" applyFill="1" applyBorder="1" applyAlignment="1" applyProtection="1">
      <alignment horizontal="center" vertical="center" wrapText="1"/>
      <protection hidden="1"/>
    </xf>
    <xf numFmtId="14" fontId="77" fillId="12" borderId="11" xfId="0" applyNumberFormat="1" applyFont="1" applyFill="1" applyBorder="1" applyAlignment="1" applyProtection="1">
      <alignment horizontal="center" vertical="center"/>
      <protection hidden="1"/>
    </xf>
    <xf numFmtId="166" fontId="77" fillId="12" borderId="9" xfId="0" applyNumberFormat="1" applyFont="1" applyFill="1" applyBorder="1" applyAlignment="1" applyProtection="1">
      <alignment horizontal="center" vertical="center" wrapText="1"/>
      <protection hidden="1"/>
    </xf>
    <xf numFmtId="167" fontId="77" fillId="15" borderId="9" xfId="0" applyNumberFormat="1" applyFont="1" applyFill="1" applyBorder="1" applyAlignment="1" applyProtection="1">
      <alignment horizontal="center" vertical="center" wrapText="1"/>
      <protection hidden="1"/>
    </xf>
    <xf numFmtId="11" fontId="77" fillId="15" borderId="9" xfId="0" applyNumberFormat="1" applyFont="1" applyFill="1" applyBorder="1" applyAlignment="1" applyProtection="1">
      <alignment horizontal="center" vertical="center" wrapText="1"/>
      <protection hidden="1"/>
    </xf>
    <xf numFmtId="166" fontId="77" fillId="15" borderId="9" xfId="0" applyNumberFormat="1" applyFont="1" applyFill="1" applyBorder="1" applyAlignment="1" applyProtection="1">
      <alignment horizontal="center" vertical="center" wrapText="1"/>
      <protection hidden="1"/>
    </xf>
    <xf numFmtId="0" fontId="77" fillId="15" borderId="9" xfId="0" applyFont="1" applyFill="1" applyBorder="1" applyAlignment="1" applyProtection="1">
      <alignment horizontal="center" vertical="center" wrapText="1"/>
      <protection hidden="1"/>
    </xf>
    <xf numFmtId="2" fontId="77" fillId="15" borderId="9" xfId="0" applyNumberFormat="1" applyFont="1" applyFill="1" applyBorder="1" applyAlignment="1" applyProtection="1">
      <alignment horizontal="center" vertical="center" wrapText="1"/>
      <protection hidden="1"/>
    </xf>
    <xf numFmtId="1" fontId="77" fillId="15" borderId="9" xfId="0" applyNumberFormat="1" applyFont="1" applyFill="1" applyBorder="1" applyAlignment="1" applyProtection="1">
      <alignment horizontal="center" vertical="center" wrapText="1"/>
      <protection hidden="1"/>
    </xf>
    <xf numFmtId="169" fontId="77" fillId="15" borderId="9" xfId="0" applyNumberFormat="1" applyFont="1" applyFill="1" applyBorder="1" applyAlignment="1" applyProtection="1">
      <alignment horizontal="center" vertical="center" wrapText="1"/>
      <protection hidden="1"/>
    </xf>
    <xf numFmtId="0" fontId="77" fillId="15" borderId="39" xfId="0" applyFont="1" applyFill="1" applyBorder="1" applyAlignment="1" applyProtection="1">
      <alignment horizontal="center" vertical="center" wrapText="1"/>
      <protection hidden="1"/>
    </xf>
    <xf numFmtId="166" fontId="77" fillId="15" borderId="39" xfId="0" applyNumberFormat="1" applyFont="1" applyFill="1" applyBorder="1" applyAlignment="1" applyProtection="1">
      <alignment horizontal="center" vertical="center" wrapText="1"/>
      <protection hidden="1"/>
    </xf>
    <xf numFmtId="2" fontId="77" fillId="15" borderId="39" xfId="0" applyNumberFormat="1" applyFont="1" applyFill="1" applyBorder="1" applyAlignment="1" applyProtection="1">
      <alignment horizontal="center" vertical="center" wrapText="1"/>
      <protection hidden="1"/>
    </xf>
    <xf numFmtId="2" fontId="77" fillId="12" borderId="39" xfId="0" applyNumberFormat="1" applyFont="1" applyFill="1" applyBorder="1" applyAlignment="1" applyProtection="1">
      <alignment horizontal="center" vertical="center" wrapText="1"/>
      <protection hidden="1"/>
    </xf>
    <xf numFmtId="0" fontId="77" fillId="0" borderId="28" xfId="0" applyFont="1" applyFill="1" applyBorder="1" applyAlignment="1" applyProtection="1">
      <alignment horizontal="center" vertical="center" wrapText="1"/>
      <protection hidden="1"/>
    </xf>
    <xf numFmtId="0" fontId="77" fillId="0" borderId="4" xfId="0" applyFont="1" applyFill="1" applyBorder="1" applyAlignment="1" applyProtection="1">
      <alignment horizontal="center" vertical="center" wrapText="1"/>
      <protection hidden="1"/>
    </xf>
    <xf numFmtId="1" fontId="77" fillId="15" borderId="14" xfId="0" applyNumberFormat="1" applyFont="1" applyFill="1" applyBorder="1" applyAlignment="1" applyProtection="1">
      <alignment horizontal="center" vertical="center" wrapText="1"/>
      <protection hidden="1"/>
    </xf>
    <xf numFmtId="0" fontId="8" fillId="15" borderId="9" xfId="0" applyFont="1" applyFill="1" applyBorder="1" applyAlignment="1" applyProtection="1">
      <alignment horizontal="center" vertical="center" wrapText="1"/>
      <protection hidden="1"/>
    </xf>
    <xf numFmtId="0" fontId="8" fillId="15" borderId="42" xfId="0" applyFont="1" applyFill="1" applyBorder="1" applyAlignment="1" applyProtection="1">
      <alignment horizontal="center" vertical="center" wrapText="1"/>
      <protection hidden="1"/>
    </xf>
    <xf numFmtId="0" fontId="6" fillId="6" borderId="48" xfId="0" applyFont="1" applyFill="1" applyBorder="1" applyAlignment="1" applyProtection="1">
      <alignment vertical="center" wrapText="1"/>
      <protection locked="0" hidden="1"/>
    </xf>
    <xf numFmtId="0" fontId="1" fillId="12" borderId="31" xfId="0" applyFont="1" applyFill="1" applyBorder="1" applyAlignment="1" applyProtection="1">
      <alignment horizontal="center" vertical="center" wrapText="1"/>
      <protection hidden="1"/>
    </xf>
    <xf numFmtId="165" fontId="1" fillId="12" borderId="31" xfId="0" applyNumberFormat="1" applyFont="1" applyFill="1" applyBorder="1" applyAlignment="1" applyProtection="1">
      <alignment horizontal="center" vertical="center" wrapText="1"/>
      <protection hidden="1"/>
    </xf>
    <xf numFmtId="171" fontId="1" fillId="12" borderId="31" xfId="0" applyNumberFormat="1" applyFont="1" applyFill="1" applyBorder="1" applyAlignment="1" applyProtection="1">
      <alignment horizontal="center" vertical="center" wrapText="1"/>
      <protection hidden="1"/>
    </xf>
    <xf numFmtId="0" fontId="77" fillId="12" borderId="41" xfId="0" applyFont="1" applyFill="1" applyBorder="1" applyAlignment="1" applyProtection="1">
      <alignment horizontal="center" vertical="center" wrapText="1"/>
      <protection hidden="1"/>
    </xf>
    <xf numFmtId="14" fontId="77" fillId="12" borderId="36" xfId="0" applyNumberFormat="1" applyFont="1" applyFill="1" applyBorder="1" applyAlignment="1" applyProtection="1">
      <alignment horizontal="center" vertical="center" wrapText="1"/>
      <protection hidden="1"/>
    </xf>
    <xf numFmtId="0" fontId="76" fillId="25" borderId="1" xfId="0" applyFont="1" applyFill="1" applyBorder="1" applyAlignment="1" applyProtection="1">
      <alignment horizontal="center" vertical="center" wrapText="1"/>
      <protection hidden="1"/>
    </xf>
    <xf numFmtId="0" fontId="76" fillId="0" borderId="0" xfId="0" applyFont="1" applyFill="1" applyBorder="1" applyAlignment="1" applyProtection="1">
      <alignment vertical="center" wrapText="1"/>
      <protection hidden="1"/>
    </xf>
    <xf numFmtId="0" fontId="77" fillId="0" borderId="0" xfId="0" applyFont="1" applyFill="1" applyBorder="1" applyAlignment="1" applyProtection="1">
      <alignment vertical="center" wrapText="1"/>
      <protection hidden="1"/>
    </xf>
    <xf numFmtId="0" fontId="79" fillId="24" borderId="8" xfId="6" applyFont="1" applyBorder="1" applyAlignment="1" applyProtection="1">
      <alignment horizontal="center" vertical="center"/>
      <protection locked="0" hidden="1"/>
    </xf>
    <xf numFmtId="167" fontId="77" fillId="6" borderId="9" xfId="0" applyNumberFormat="1" applyFont="1" applyFill="1" applyBorder="1" applyAlignment="1" applyProtection="1">
      <alignment horizontal="center" vertical="center" wrapText="1"/>
      <protection locked="0" hidden="1"/>
    </xf>
    <xf numFmtId="167" fontId="77" fillId="6" borderId="33" xfId="0" applyNumberFormat="1" applyFont="1" applyFill="1" applyBorder="1" applyAlignment="1" applyProtection="1">
      <alignment horizontal="center" vertical="center" wrapText="1"/>
      <protection locked="0" hidden="1"/>
    </xf>
    <xf numFmtId="167" fontId="77" fillId="6" borderId="42" xfId="0" applyNumberFormat="1" applyFont="1" applyFill="1" applyBorder="1" applyAlignment="1" applyProtection="1">
      <alignment horizontal="center" vertical="center" wrapText="1"/>
      <protection locked="0" hidden="1"/>
    </xf>
    <xf numFmtId="167" fontId="77" fillId="6" borderId="36" xfId="0" applyNumberFormat="1" applyFont="1" applyFill="1" applyBorder="1" applyAlignment="1" applyProtection="1">
      <alignment horizontal="center" vertical="center" wrapText="1"/>
      <protection locked="0" hidden="1"/>
    </xf>
    <xf numFmtId="0" fontId="77" fillId="0" borderId="0" xfId="0" applyFont="1" applyFill="1" applyBorder="1" applyAlignment="1" applyProtection="1">
      <alignment horizontal="center" vertical="center" wrapText="1"/>
      <protection hidden="1"/>
    </xf>
    <xf numFmtId="0" fontId="77" fillId="2" borderId="0" xfId="0" applyFont="1" applyFill="1" applyAlignment="1" applyProtection="1">
      <alignment vertical="center" wrapText="1"/>
      <protection hidden="1"/>
    </xf>
    <xf numFmtId="0" fontId="77" fillId="0" borderId="0" xfId="0" applyFont="1" applyAlignment="1" applyProtection="1">
      <alignment vertical="center" wrapText="1"/>
      <protection hidden="1"/>
    </xf>
    <xf numFmtId="14" fontId="77" fillId="0" borderId="0" xfId="0" applyNumberFormat="1" applyFont="1" applyAlignment="1" applyProtection="1">
      <alignment vertical="center" wrapText="1"/>
      <protection hidden="1"/>
    </xf>
    <xf numFmtId="0" fontId="77" fillId="2" borderId="0" xfId="0" applyFont="1" applyFill="1" applyBorder="1" applyAlignment="1" applyProtection="1">
      <alignment vertical="center" wrapText="1"/>
      <protection hidden="1"/>
    </xf>
    <xf numFmtId="167" fontId="76" fillId="7" borderId="40" xfId="0" applyNumberFormat="1" applyFont="1" applyFill="1" applyBorder="1" applyAlignment="1" applyProtection="1">
      <alignment horizontal="center" vertical="center" wrapText="1"/>
      <protection hidden="1"/>
    </xf>
    <xf numFmtId="0" fontId="76" fillId="0" borderId="0" xfId="0" applyFont="1" applyFill="1" applyBorder="1" applyAlignment="1" applyProtection="1">
      <alignment horizontal="center" vertical="center" wrapText="1"/>
      <protection hidden="1"/>
    </xf>
    <xf numFmtId="167" fontId="77" fillId="0" borderId="0" xfId="0" applyNumberFormat="1" applyFont="1" applyFill="1" applyBorder="1" applyAlignment="1" applyProtection="1">
      <alignment horizontal="center" vertical="center" wrapText="1"/>
      <protection locked="0" hidden="1"/>
    </xf>
    <xf numFmtId="167" fontId="77" fillId="0" borderId="0" xfId="0" applyNumberFormat="1" applyFont="1" applyFill="1" applyBorder="1" applyAlignment="1" applyProtection="1">
      <alignment horizontal="center" vertical="center" wrapText="1"/>
      <protection hidden="1"/>
    </xf>
    <xf numFmtId="167" fontId="76" fillId="0" borderId="0" xfId="0" applyNumberFormat="1" applyFont="1" applyFill="1" applyBorder="1" applyAlignment="1" applyProtection="1">
      <alignment horizontal="center" vertical="center" wrapText="1"/>
      <protection hidden="1"/>
    </xf>
    <xf numFmtId="0" fontId="77" fillId="0" borderId="0" xfId="0" applyFont="1" applyFill="1" applyAlignment="1" applyProtection="1">
      <alignment vertical="center" wrapText="1"/>
      <protection hidden="1"/>
    </xf>
    <xf numFmtId="0" fontId="79" fillId="0" borderId="0" xfId="6" applyFont="1" applyFill="1" applyBorder="1" applyAlignment="1" applyProtection="1">
      <alignment horizontal="center" vertical="center"/>
      <protection locked="0" hidden="1"/>
    </xf>
    <xf numFmtId="166" fontId="83" fillId="0" borderId="0" xfId="0" applyNumberFormat="1" applyFont="1" applyFill="1" applyBorder="1" applyAlignment="1" applyProtection="1">
      <alignment horizontal="center"/>
    </xf>
    <xf numFmtId="166" fontId="77" fillId="0" borderId="0" xfId="0" applyNumberFormat="1" applyFont="1" applyFill="1" applyBorder="1" applyAlignment="1" applyProtection="1">
      <alignment horizontal="center" vertical="center"/>
      <protection hidden="1"/>
    </xf>
    <xf numFmtId="0" fontId="77" fillId="0" borderId="0" xfId="0" applyFont="1" applyFill="1" applyBorder="1" applyAlignment="1" applyProtection="1">
      <alignment horizontal="center" vertical="center"/>
      <protection locked="0" hidden="1"/>
    </xf>
    <xf numFmtId="0" fontId="77" fillId="0" borderId="0" xfId="0" applyFont="1" applyFill="1" applyBorder="1" applyAlignment="1" applyProtection="1">
      <alignment horizontal="center" vertical="center" wrapText="1"/>
      <protection locked="0" hidden="1"/>
    </xf>
    <xf numFmtId="1" fontId="77" fillId="0" borderId="0" xfId="0" applyNumberFormat="1" applyFont="1" applyFill="1" applyBorder="1" applyAlignment="1" applyProtection="1">
      <alignment horizontal="center" vertical="center" wrapText="1"/>
      <protection hidden="1"/>
    </xf>
    <xf numFmtId="1" fontId="77" fillId="0" borderId="0" xfId="0" applyNumberFormat="1" applyFont="1" applyFill="1" applyBorder="1" applyAlignment="1" applyProtection="1">
      <alignment horizontal="center" vertical="center" wrapText="1"/>
      <protection locked="0" hidden="1"/>
    </xf>
    <xf numFmtId="164" fontId="76" fillId="7" borderId="1" xfId="0" applyNumberFormat="1" applyFont="1" applyFill="1" applyBorder="1" applyAlignment="1" applyProtection="1">
      <alignment horizontal="center" vertical="center" wrapText="1"/>
      <protection hidden="1"/>
    </xf>
    <xf numFmtId="164" fontId="76" fillId="7" borderId="48" xfId="0" applyNumberFormat="1" applyFont="1" applyFill="1" applyBorder="1" applyAlignment="1" applyProtection="1">
      <alignment horizontal="center" vertical="center" wrapText="1"/>
      <protection hidden="1"/>
    </xf>
    <xf numFmtId="0" fontId="77" fillId="6" borderId="1" xfId="0" applyFont="1" applyFill="1" applyBorder="1" applyAlignment="1" applyProtection="1">
      <alignment vertical="center" wrapText="1"/>
      <protection locked="0" hidden="1"/>
    </xf>
    <xf numFmtId="0" fontId="77" fillId="0" borderId="0" xfId="0" applyFont="1" applyFill="1" applyBorder="1" applyAlignment="1" applyProtection="1">
      <alignment vertical="center" wrapText="1"/>
      <protection locked="0" hidden="1"/>
    </xf>
    <xf numFmtId="166" fontId="76" fillId="0" borderId="0" xfId="0" applyNumberFormat="1" applyFont="1" applyFill="1" applyBorder="1" applyAlignment="1" applyProtection="1">
      <alignment horizontal="center" vertical="center" wrapText="1"/>
      <protection hidden="1"/>
    </xf>
    <xf numFmtId="166" fontId="77" fillId="0" borderId="0" xfId="0" applyNumberFormat="1" applyFont="1" applyAlignment="1" applyProtection="1">
      <alignment horizontal="center" vertical="center" wrapText="1"/>
      <protection hidden="1"/>
    </xf>
    <xf numFmtId="0" fontId="77" fillId="7" borderId="56" xfId="0" applyFont="1" applyFill="1" applyBorder="1" applyAlignment="1" applyProtection="1">
      <alignment horizontal="center" vertical="center" wrapText="1"/>
      <protection hidden="1"/>
    </xf>
    <xf numFmtId="0" fontId="77" fillId="7" borderId="3" xfId="0" applyFont="1" applyFill="1" applyBorder="1" applyAlignment="1" applyProtection="1">
      <alignment vertical="center" wrapText="1"/>
      <protection hidden="1"/>
    </xf>
    <xf numFmtId="0" fontId="76" fillId="7" borderId="66" xfId="0" applyFont="1" applyFill="1" applyBorder="1" applyAlignment="1" applyProtection="1">
      <alignment horizontal="center" vertical="center" wrapText="1"/>
      <protection hidden="1"/>
    </xf>
    <xf numFmtId="0" fontId="77" fillId="7" borderId="4" xfId="0" applyFont="1" applyFill="1" applyBorder="1" applyAlignment="1" applyProtection="1">
      <alignment vertical="center" wrapText="1"/>
      <protection hidden="1"/>
    </xf>
    <xf numFmtId="167" fontId="77" fillId="7" borderId="34" xfId="0" applyNumberFormat="1" applyFont="1" applyFill="1" applyBorder="1" applyAlignment="1" applyProtection="1">
      <alignment horizontal="center" vertical="center" wrapText="1"/>
      <protection hidden="1"/>
    </xf>
    <xf numFmtId="0" fontId="77" fillId="7" borderId="0" xfId="0" applyFont="1" applyFill="1" applyBorder="1" applyAlignment="1" applyProtection="1">
      <alignment vertical="center" wrapText="1"/>
      <protection hidden="1"/>
    </xf>
    <xf numFmtId="167" fontId="76" fillId="7" borderId="64" xfId="0" applyNumberFormat="1" applyFont="1" applyFill="1" applyBorder="1" applyAlignment="1" applyProtection="1">
      <alignment horizontal="center" vertical="center" wrapText="1"/>
      <protection hidden="1"/>
    </xf>
    <xf numFmtId="0" fontId="77" fillId="7" borderId="47" xfId="0" applyFont="1" applyFill="1" applyBorder="1" applyAlignment="1" applyProtection="1">
      <alignment vertical="center" wrapText="1"/>
      <protection hidden="1"/>
    </xf>
    <xf numFmtId="0" fontId="77" fillId="7" borderId="34" xfId="0" applyFont="1" applyFill="1" applyBorder="1" applyAlignment="1" applyProtection="1">
      <alignment horizontal="center" vertical="center" wrapText="1"/>
      <protection hidden="1"/>
    </xf>
    <xf numFmtId="0" fontId="77" fillId="7" borderId="54" xfId="0" applyFont="1" applyFill="1" applyBorder="1" applyAlignment="1" applyProtection="1">
      <alignment horizontal="center" vertical="center" wrapText="1"/>
      <protection hidden="1"/>
    </xf>
    <xf numFmtId="0" fontId="77" fillId="7" borderId="5" xfId="0" applyFont="1" applyFill="1" applyBorder="1" applyAlignment="1" applyProtection="1">
      <alignment vertical="center" wrapText="1"/>
      <protection hidden="1"/>
    </xf>
    <xf numFmtId="2" fontId="76" fillId="7" borderId="67" xfId="0" applyNumberFormat="1" applyFont="1" applyFill="1" applyBorder="1" applyAlignment="1" applyProtection="1">
      <alignment horizontal="center" vertical="center" wrapText="1"/>
      <protection hidden="1"/>
    </xf>
    <xf numFmtId="0" fontId="77" fillId="7" borderId="37" xfId="0" applyFont="1" applyFill="1" applyBorder="1" applyAlignment="1" applyProtection="1">
      <alignment vertical="center" wrapText="1"/>
      <protection hidden="1"/>
    </xf>
    <xf numFmtId="0" fontId="77" fillId="2" borderId="0" xfId="0" applyFont="1" applyFill="1" applyBorder="1" applyAlignment="1" applyProtection="1">
      <alignment vertical="center" wrapText="1"/>
      <protection locked="0" hidden="1"/>
    </xf>
    <xf numFmtId="0" fontId="77" fillId="2" borderId="47" xfId="0" applyFont="1" applyFill="1" applyBorder="1" applyAlignment="1" applyProtection="1">
      <alignment vertical="center" wrapText="1"/>
      <protection locked="0" hidden="1"/>
    </xf>
    <xf numFmtId="11" fontId="77" fillId="0" borderId="0" xfId="0" applyNumberFormat="1" applyFont="1" applyFill="1" applyBorder="1" applyAlignment="1" applyProtection="1">
      <alignment horizontal="center" vertical="center" wrapText="1"/>
      <protection hidden="1"/>
    </xf>
    <xf numFmtId="0" fontId="77" fillId="2" borderId="45" xfId="0" applyFont="1" applyFill="1" applyBorder="1" applyAlignment="1" applyProtection="1">
      <alignment vertical="center" wrapText="1"/>
      <protection locked="0" hidden="1"/>
    </xf>
    <xf numFmtId="0" fontId="77" fillId="2" borderId="5" xfId="0" applyFont="1" applyFill="1" applyBorder="1" applyAlignment="1" applyProtection="1">
      <alignment vertical="center" wrapText="1"/>
      <protection locked="0" hidden="1"/>
    </xf>
    <xf numFmtId="0" fontId="77" fillId="2" borderId="37" xfId="0" applyFont="1" applyFill="1" applyBorder="1" applyAlignment="1" applyProtection="1">
      <alignment vertical="center" wrapText="1"/>
      <protection locked="0" hidden="1"/>
    </xf>
    <xf numFmtId="2" fontId="77" fillId="0" borderId="0" xfId="0" applyNumberFormat="1" applyFont="1" applyFill="1" applyBorder="1" applyAlignment="1" applyProtection="1">
      <alignment horizontal="center" vertical="center" wrapText="1"/>
      <protection hidden="1"/>
    </xf>
    <xf numFmtId="0" fontId="81" fillId="33" borderId="1" xfId="0" applyFont="1" applyFill="1" applyBorder="1" applyAlignment="1">
      <alignment horizontal="center" vertical="center" wrapText="1"/>
    </xf>
    <xf numFmtId="0" fontId="81" fillId="33" borderId="4" xfId="0" applyFont="1" applyFill="1" applyBorder="1" applyAlignment="1">
      <alignment horizontal="center" vertical="center" wrapText="1"/>
    </xf>
    <xf numFmtId="0" fontId="81" fillId="33" borderId="69" xfId="0" applyFont="1" applyFill="1" applyBorder="1" applyAlignment="1">
      <alignment horizontal="center" vertical="center" wrapText="1"/>
    </xf>
    <xf numFmtId="0" fontId="81" fillId="33" borderId="2" xfId="0" applyFont="1" applyFill="1" applyBorder="1" applyAlignment="1">
      <alignment horizontal="center" vertical="center" wrapText="1"/>
    </xf>
    <xf numFmtId="0" fontId="75" fillId="0" borderId="47" xfId="0" applyFont="1" applyBorder="1" applyAlignment="1"/>
    <xf numFmtId="0" fontId="75" fillId="0" borderId="0" xfId="0" applyFont="1"/>
    <xf numFmtId="0" fontId="81" fillId="0" borderId="3" xfId="0" applyFont="1" applyFill="1" applyBorder="1" applyAlignment="1">
      <alignment horizontal="left" vertical="top"/>
    </xf>
    <xf numFmtId="170" fontId="74" fillId="0" borderId="0" xfId="0" applyNumberFormat="1" applyFont="1"/>
    <xf numFmtId="0" fontId="75" fillId="0" borderId="0" xfId="0" applyFont="1" applyAlignment="1"/>
    <xf numFmtId="0" fontId="77" fillId="0" borderId="0" xfId="0" applyFont="1" applyFill="1" applyBorder="1" applyAlignment="1" applyProtection="1">
      <alignment horizontal="left" vertical="center" wrapText="1"/>
      <protection hidden="1"/>
    </xf>
    <xf numFmtId="168" fontId="80" fillId="0" borderId="0" xfId="0" applyNumberFormat="1" applyFont="1" applyFill="1" applyBorder="1" applyAlignment="1" applyProtection="1">
      <alignment vertical="center" wrapText="1"/>
      <protection hidden="1"/>
    </xf>
    <xf numFmtId="168" fontId="80" fillId="0" borderId="0" xfId="0" applyNumberFormat="1" applyFont="1" applyFill="1" applyBorder="1" applyAlignment="1" applyProtection="1">
      <alignment horizontal="center" vertical="center"/>
      <protection hidden="1"/>
    </xf>
    <xf numFmtId="168" fontId="77" fillId="0" borderId="0" xfId="0" applyNumberFormat="1" applyFont="1" applyFill="1" applyBorder="1" applyAlignment="1" applyProtection="1">
      <alignment horizontal="center" vertical="center"/>
      <protection hidden="1"/>
    </xf>
    <xf numFmtId="9" fontId="74" fillId="0" borderId="0" xfId="0" applyNumberFormat="1" applyFont="1" applyBorder="1" applyAlignment="1">
      <alignment horizontal="center"/>
    </xf>
    <xf numFmtId="0" fontId="81" fillId="2" borderId="0" xfId="0" applyFont="1" applyFill="1" applyBorder="1" applyAlignment="1">
      <alignment horizontal="left" vertical="top"/>
    </xf>
    <xf numFmtId="171" fontId="74" fillId="2" borderId="0" xfId="0" applyNumberFormat="1" applyFont="1" applyFill="1" applyBorder="1" applyAlignment="1">
      <alignment horizontal="center"/>
    </xf>
    <xf numFmtId="0" fontId="81" fillId="0" borderId="3" xfId="0" applyFont="1" applyBorder="1" applyAlignment="1">
      <alignment horizontal="center"/>
    </xf>
    <xf numFmtId="1" fontId="81" fillId="0" borderId="3" xfId="0" applyNumberFormat="1" applyFont="1" applyBorder="1" applyAlignment="1">
      <alignment horizontal="center"/>
    </xf>
    <xf numFmtId="167" fontId="81" fillId="0" borderId="3" xfId="0" applyNumberFormat="1" applyFont="1" applyBorder="1" applyAlignment="1">
      <alignment horizontal="center"/>
    </xf>
    <xf numFmtId="0" fontId="81" fillId="33" borderId="1" xfId="0" applyFont="1" applyFill="1" applyBorder="1" applyAlignment="1">
      <alignment wrapText="1"/>
    </xf>
    <xf numFmtId="190" fontId="77" fillId="2" borderId="64" xfId="11" applyNumberFormat="1" applyFont="1" applyFill="1" applyBorder="1" applyAlignment="1" applyProtection="1">
      <alignment horizontal="center" vertical="center" wrapText="1"/>
      <protection hidden="1"/>
    </xf>
    <xf numFmtId="10" fontId="77" fillId="2" borderId="64" xfId="11" applyNumberFormat="1" applyFont="1" applyFill="1" applyBorder="1" applyAlignment="1" applyProtection="1">
      <alignment horizontal="center" vertical="center" wrapText="1"/>
      <protection hidden="1"/>
    </xf>
    <xf numFmtId="188" fontId="77" fillId="2" borderId="64" xfId="11" applyNumberFormat="1" applyFont="1" applyFill="1" applyBorder="1" applyAlignment="1" applyProtection="1">
      <alignment horizontal="center" vertical="center" wrapText="1"/>
      <protection hidden="1"/>
    </xf>
    <xf numFmtId="0" fontId="77" fillId="0" borderId="0" xfId="0" applyFont="1" applyProtection="1">
      <protection hidden="1"/>
    </xf>
    <xf numFmtId="164" fontId="77" fillId="0" borderId="0" xfId="0" applyNumberFormat="1" applyFont="1" applyProtection="1">
      <protection hidden="1"/>
    </xf>
    <xf numFmtId="0" fontId="77" fillId="5" borderId="1" xfId="0" applyFont="1" applyFill="1" applyBorder="1" applyAlignment="1" applyProtection="1">
      <alignment horizontal="center" vertical="center" wrapText="1"/>
      <protection hidden="1"/>
    </xf>
    <xf numFmtId="0" fontId="77" fillId="0" borderId="0" xfId="0" applyFont="1" applyAlignment="1" applyProtection="1">
      <alignment horizontal="center" vertical="center" wrapText="1"/>
      <protection hidden="1"/>
    </xf>
    <xf numFmtId="0" fontId="76" fillId="2" borderId="1" xfId="0" applyFont="1" applyFill="1" applyBorder="1" applyAlignment="1" applyProtection="1">
      <alignment horizontal="center" vertical="center" wrapText="1"/>
      <protection hidden="1"/>
    </xf>
    <xf numFmtId="2" fontId="76" fillId="7" borderId="63" xfId="0" applyNumberFormat="1" applyFont="1" applyFill="1" applyBorder="1" applyAlignment="1" applyProtection="1">
      <alignment horizontal="center" vertical="center"/>
      <protection hidden="1"/>
    </xf>
    <xf numFmtId="0" fontId="76" fillId="5" borderId="38" xfId="0" applyFont="1" applyFill="1" applyBorder="1" applyAlignment="1" applyProtection="1">
      <alignment horizontal="center" vertical="center" wrapText="1"/>
      <protection hidden="1"/>
    </xf>
    <xf numFmtId="2" fontId="77" fillId="7" borderId="39" xfId="0" applyNumberFormat="1" applyFont="1" applyFill="1" applyBorder="1" applyAlignment="1" applyProtection="1">
      <alignment horizontal="center" vertical="center" wrapText="1"/>
      <protection hidden="1"/>
    </xf>
    <xf numFmtId="2" fontId="77" fillId="7" borderId="40" xfId="0" applyNumberFormat="1" applyFont="1" applyFill="1" applyBorder="1" applyAlignment="1" applyProtection="1">
      <alignment horizontal="center" vertical="center" wrapText="1"/>
      <protection hidden="1"/>
    </xf>
    <xf numFmtId="2" fontId="80" fillId="7" borderId="1" xfId="0" applyNumberFormat="1" applyFont="1" applyFill="1" applyBorder="1" applyAlignment="1" applyProtection="1">
      <alignment horizontal="center" vertical="center" wrapText="1"/>
      <protection hidden="1"/>
    </xf>
    <xf numFmtId="0" fontId="80" fillId="7" borderId="1" xfId="0" applyFont="1" applyFill="1" applyBorder="1" applyAlignment="1" applyProtection="1">
      <alignment horizontal="center" vertical="center" wrapText="1"/>
      <protection hidden="1"/>
    </xf>
    <xf numFmtId="0" fontId="80" fillId="7" borderId="38" xfId="0" applyFont="1" applyFill="1" applyBorder="1" applyAlignment="1" applyProtection="1">
      <alignment horizontal="center" vertical="center" wrapText="1"/>
      <protection hidden="1"/>
    </xf>
    <xf numFmtId="0" fontId="80" fillId="7" borderId="40" xfId="0" applyFont="1" applyFill="1" applyBorder="1" applyAlignment="1" applyProtection="1">
      <alignment horizontal="center" vertical="center" wrapText="1"/>
      <protection hidden="1"/>
    </xf>
    <xf numFmtId="0" fontId="76" fillId="5" borderId="31" xfId="0" applyFont="1" applyFill="1" applyBorder="1" applyAlignment="1" applyProtection="1">
      <alignment horizontal="center" vertical="center" wrapText="1"/>
      <protection hidden="1"/>
    </xf>
    <xf numFmtId="2" fontId="77" fillId="7" borderId="9" xfId="0" applyNumberFormat="1" applyFont="1" applyFill="1" applyBorder="1" applyAlignment="1" applyProtection="1">
      <alignment horizontal="center" vertical="center" wrapText="1"/>
      <protection hidden="1"/>
    </xf>
    <xf numFmtId="166" fontId="77" fillId="7" borderId="33" xfId="0" applyNumberFormat="1" applyFont="1" applyFill="1" applyBorder="1" applyAlignment="1" applyProtection="1">
      <alignment horizontal="center" vertical="center" wrapText="1"/>
      <protection hidden="1"/>
    </xf>
    <xf numFmtId="0" fontId="76" fillId="7" borderId="1" xfId="0" applyFont="1" applyFill="1" applyBorder="1" applyAlignment="1" applyProtection="1">
      <alignment horizontal="center" vertical="center" wrapText="1"/>
      <protection hidden="1"/>
    </xf>
    <xf numFmtId="0" fontId="80" fillId="7" borderId="41" xfId="0" applyFont="1" applyFill="1" applyBorder="1" applyAlignment="1" applyProtection="1">
      <alignment horizontal="center" vertical="center" wrapText="1"/>
      <protection hidden="1"/>
    </xf>
    <xf numFmtId="0" fontId="80" fillId="7" borderId="42" xfId="0" applyFont="1" applyFill="1" applyBorder="1" applyAlignment="1" applyProtection="1">
      <alignment horizontal="center" vertical="center" wrapText="1"/>
      <protection hidden="1"/>
    </xf>
    <xf numFmtId="0" fontId="80" fillId="7" borderId="36" xfId="0" applyFont="1" applyFill="1" applyBorder="1" applyAlignment="1" applyProtection="1">
      <alignment horizontal="center" vertical="center" wrapText="1"/>
      <protection hidden="1"/>
    </xf>
    <xf numFmtId="165" fontId="77" fillId="7" borderId="9" xfId="0" applyNumberFormat="1" applyFont="1" applyFill="1" applyBorder="1" applyAlignment="1" applyProtection="1">
      <alignment horizontal="center" vertical="center" wrapText="1"/>
      <protection hidden="1"/>
    </xf>
    <xf numFmtId="164" fontId="77" fillId="7" borderId="9" xfId="0" applyNumberFormat="1" applyFont="1" applyFill="1" applyBorder="1" applyAlignment="1" applyProtection="1">
      <alignment horizontal="center" vertical="center" wrapText="1"/>
      <protection hidden="1"/>
    </xf>
    <xf numFmtId="168" fontId="77" fillId="7" borderId="33" xfId="0" applyNumberFormat="1" applyFont="1" applyFill="1" applyBorder="1" applyAlignment="1" applyProtection="1">
      <alignment horizontal="center" vertical="center" wrapText="1"/>
      <protection hidden="1"/>
    </xf>
    <xf numFmtId="0" fontId="76" fillId="5" borderId="41" xfId="0" applyFont="1" applyFill="1" applyBorder="1" applyAlignment="1" applyProtection="1">
      <alignment horizontal="center" vertical="center" wrapText="1"/>
      <protection hidden="1"/>
    </xf>
    <xf numFmtId="2" fontId="77" fillId="7" borderId="42" xfId="11" applyNumberFormat="1" applyFont="1" applyFill="1" applyBorder="1" applyAlignment="1" applyProtection="1">
      <alignment horizontal="center" vertical="center" wrapText="1"/>
      <protection hidden="1"/>
    </xf>
    <xf numFmtId="164" fontId="77" fillId="7" borderId="42" xfId="0" applyNumberFormat="1" applyFont="1" applyFill="1" applyBorder="1" applyAlignment="1" applyProtection="1">
      <alignment horizontal="center" vertical="center" wrapText="1"/>
      <protection hidden="1"/>
    </xf>
    <xf numFmtId="166" fontId="77" fillId="7" borderId="42" xfId="0" applyNumberFormat="1" applyFont="1" applyFill="1" applyBorder="1" applyAlignment="1" applyProtection="1">
      <alignment horizontal="center" vertical="center" wrapText="1"/>
      <protection hidden="1"/>
    </xf>
    <xf numFmtId="165" fontId="77" fillId="7" borderId="42" xfId="0" applyNumberFormat="1" applyFont="1" applyFill="1" applyBorder="1" applyAlignment="1" applyProtection="1">
      <alignment horizontal="center" vertical="center" wrapText="1"/>
      <protection hidden="1"/>
    </xf>
    <xf numFmtId="164" fontId="77" fillId="7" borderId="36" xfId="0" applyNumberFormat="1" applyFont="1" applyFill="1" applyBorder="1" applyAlignment="1" applyProtection="1">
      <alignment horizontal="center" vertical="center" wrapText="1"/>
      <protection hidden="1"/>
    </xf>
    <xf numFmtId="0" fontId="76" fillId="5" borderId="27" xfId="0" applyFont="1" applyFill="1" applyBorder="1" applyAlignment="1" applyProtection="1">
      <alignment horizontal="center" vertical="center" wrapText="1"/>
      <protection hidden="1"/>
    </xf>
    <xf numFmtId="0" fontId="76" fillId="0" borderId="0" xfId="0" applyFont="1" applyFill="1" applyBorder="1" applyAlignment="1" applyProtection="1">
      <alignment horizontal="center" vertical="center" wrapText="1"/>
      <protection hidden="1"/>
    </xf>
    <xf numFmtId="0" fontId="7" fillId="16" borderId="20" xfId="0" applyFont="1" applyFill="1" applyBorder="1" applyAlignment="1" applyProtection="1">
      <alignment horizontal="center" vertical="center" wrapText="1"/>
      <protection hidden="1"/>
    </xf>
    <xf numFmtId="167" fontId="77" fillId="7" borderId="39" xfId="0" applyNumberFormat="1" applyFont="1" applyFill="1" applyBorder="1" applyAlignment="1" applyProtection="1">
      <alignment horizontal="center" vertical="center" wrapText="1"/>
      <protection hidden="1"/>
    </xf>
    <xf numFmtId="0" fontId="24" fillId="19" borderId="21" xfId="0" applyFont="1" applyFill="1" applyBorder="1" applyAlignment="1" applyProtection="1">
      <alignment horizontal="center" vertical="center" wrapText="1"/>
      <protection hidden="1"/>
    </xf>
    <xf numFmtId="2" fontId="15" fillId="19" borderId="21" xfId="1" applyNumberFormat="1" applyFont="1" applyFill="1" applyBorder="1" applyAlignment="1" applyProtection="1">
      <alignment horizontal="center" vertical="center" wrapText="1"/>
      <protection hidden="1"/>
    </xf>
    <xf numFmtId="0" fontId="75" fillId="16" borderId="31" xfId="0" applyFont="1" applyFill="1" applyBorder="1" applyAlignment="1">
      <alignment horizontal="center" vertical="center" wrapText="1"/>
    </xf>
    <xf numFmtId="0" fontId="81" fillId="16" borderId="9" xfId="0" applyFont="1" applyFill="1" applyBorder="1" applyAlignment="1">
      <alignment horizontal="center" vertical="center" wrapText="1"/>
    </xf>
    <xf numFmtId="0" fontId="81" fillId="16" borderId="33" xfId="0" applyFont="1" applyFill="1" applyBorder="1" applyAlignment="1">
      <alignment horizontal="center" vertical="center" wrapText="1"/>
    </xf>
    <xf numFmtId="0" fontId="77" fillId="16" borderId="31" xfId="0" applyFont="1" applyFill="1" applyBorder="1" applyAlignment="1">
      <alignment horizontal="center" vertical="center" wrapText="1"/>
    </xf>
    <xf numFmtId="0" fontId="77" fillId="16" borderId="41" xfId="0" applyFont="1" applyFill="1" applyBorder="1" applyAlignment="1">
      <alignment horizontal="center" vertical="center" wrapText="1"/>
    </xf>
    <xf numFmtId="167" fontId="76" fillId="7" borderId="66" xfId="0" applyNumberFormat="1" applyFont="1" applyFill="1" applyBorder="1" applyAlignment="1" applyProtection="1">
      <alignment horizontal="center" vertical="center" wrapText="1"/>
      <protection hidden="1"/>
    </xf>
    <xf numFmtId="167" fontId="76" fillId="7" borderId="1" xfId="0" applyNumberFormat="1" applyFont="1" applyFill="1" applyBorder="1" applyAlignment="1" applyProtection="1">
      <alignment horizontal="center" vertical="center" wrapText="1"/>
      <protection hidden="1"/>
    </xf>
    <xf numFmtId="167" fontId="76" fillId="7" borderId="19" xfId="0" applyNumberFormat="1" applyFont="1" applyFill="1" applyBorder="1" applyAlignment="1" applyProtection="1">
      <alignment horizontal="center" vertical="center" wrapText="1"/>
      <protection hidden="1"/>
    </xf>
    <xf numFmtId="0" fontId="76" fillId="7" borderId="9" xfId="0" applyFont="1" applyFill="1" applyBorder="1" applyAlignment="1" applyProtection="1">
      <alignment horizontal="center" vertical="center" wrapText="1"/>
      <protection hidden="1"/>
    </xf>
    <xf numFmtId="0" fontId="76" fillId="7" borderId="9" xfId="0" applyFont="1" applyFill="1" applyBorder="1" applyAlignment="1">
      <alignment horizontal="center" vertical="center" wrapText="1"/>
    </xf>
    <xf numFmtId="166" fontId="83" fillId="0" borderId="0" xfId="0" applyNumberFormat="1" applyFont="1" applyFill="1" applyBorder="1" applyAlignment="1" applyProtection="1">
      <alignment horizontal="center" vertical="center" wrapText="1"/>
    </xf>
    <xf numFmtId="166" fontId="77" fillId="0" borderId="0" xfId="0" applyNumberFormat="1" applyFont="1" applyFill="1" applyBorder="1" applyAlignment="1" applyProtection="1">
      <alignment horizontal="center" vertical="center" wrapText="1"/>
      <protection hidden="1"/>
    </xf>
    <xf numFmtId="165" fontId="81" fillId="7" borderId="31" xfId="0" applyNumberFormat="1" applyFont="1" applyFill="1" applyBorder="1" applyAlignment="1" applyProtection="1">
      <alignment horizontal="center" vertical="center" wrapText="1"/>
    </xf>
    <xf numFmtId="165" fontId="81" fillId="7" borderId="38" xfId="0" applyNumberFormat="1" applyFont="1" applyFill="1" applyBorder="1" applyAlignment="1" applyProtection="1">
      <alignment horizontal="center" vertical="center" wrapText="1"/>
    </xf>
    <xf numFmtId="165" fontId="81" fillId="7" borderId="41" xfId="0" applyNumberFormat="1" applyFont="1" applyFill="1" applyBorder="1" applyAlignment="1" applyProtection="1">
      <alignment horizontal="center" vertical="center" wrapText="1"/>
    </xf>
    <xf numFmtId="165" fontId="76" fillId="7" borderId="31" xfId="0" applyNumberFormat="1" applyFont="1" applyFill="1" applyBorder="1" applyAlignment="1" applyProtection="1">
      <alignment horizontal="center" vertical="center" wrapText="1"/>
    </xf>
    <xf numFmtId="165" fontId="96" fillId="7" borderId="40" xfId="0" applyNumberFormat="1" applyFont="1" applyFill="1" applyBorder="1" applyAlignment="1" applyProtection="1">
      <alignment horizontal="center" vertical="center" wrapText="1"/>
    </xf>
    <xf numFmtId="167" fontId="92" fillId="7" borderId="9" xfId="0" applyNumberFormat="1" applyFont="1" applyFill="1" applyBorder="1" applyAlignment="1" applyProtection="1">
      <alignment horizontal="center" vertical="center" wrapText="1"/>
    </xf>
    <xf numFmtId="165" fontId="96" fillId="7" borderId="33" xfId="0" applyNumberFormat="1" applyFont="1" applyFill="1" applyBorder="1" applyAlignment="1" applyProtection="1">
      <alignment horizontal="center" vertical="center" wrapText="1"/>
    </xf>
    <xf numFmtId="166" fontId="95" fillId="31" borderId="9" xfId="0" applyNumberFormat="1" applyFont="1" applyFill="1" applyBorder="1" applyAlignment="1" applyProtection="1">
      <alignment horizontal="center" vertical="center" wrapText="1"/>
    </xf>
    <xf numFmtId="166" fontId="92" fillId="7" borderId="9" xfId="0" applyNumberFormat="1" applyFont="1" applyFill="1" applyBorder="1" applyAlignment="1" applyProtection="1">
      <alignment horizontal="center" vertical="center" wrapText="1"/>
    </xf>
    <xf numFmtId="2" fontId="96" fillId="7" borderId="9" xfId="0" applyNumberFormat="1" applyFont="1" applyFill="1" applyBorder="1" applyAlignment="1" applyProtection="1">
      <alignment horizontal="center" vertical="center" wrapText="1"/>
    </xf>
    <xf numFmtId="1" fontId="96" fillId="31" borderId="9" xfId="0" applyNumberFormat="1" applyFont="1" applyFill="1" applyBorder="1" applyAlignment="1" applyProtection="1">
      <alignment horizontal="center" vertical="center" wrapText="1"/>
    </xf>
    <xf numFmtId="167" fontId="96" fillId="7" borderId="9" xfId="0" applyNumberFormat="1" applyFont="1" applyFill="1" applyBorder="1" applyAlignment="1" applyProtection="1">
      <alignment horizontal="center" vertical="center" wrapText="1"/>
      <protection hidden="1"/>
    </xf>
    <xf numFmtId="0" fontId="96" fillId="7" borderId="33" xfId="0" applyFont="1" applyFill="1" applyBorder="1" applyAlignment="1" applyProtection="1">
      <alignment horizontal="center" vertical="center" wrapText="1"/>
      <protection hidden="1"/>
    </xf>
    <xf numFmtId="0" fontId="96" fillId="7" borderId="9" xfId="0" applyFont="1" applyFill="1" applyBorder="1" applyAlignment="1" applyProtection="1">
      <alignment horizontal="center" vertical="center" wrapText="1"/>
      <protection hidden="1"/>
    </xf>
    <xf numFmtId="0" fontId="92" fillId="7" borderId="58" xfId="0" applyFont="1" applyFill="1" applyBorder="1" applyAlignment="1" applyProtection="1">
      <alignment horizontal="center" vertical="center" wrapText="1"/>
      <protection hidden="1"/>
    </xf>
    <xf numFmtId="167" fontId="92" fillId="7" borderId="42" xfId="0" applyNumberFormat="1" applyFont="1" applyFill="1" applyBorder="1" applyAlignment="1" applyProtection="1">
      <alignment horizontal="center" vertical="center" wrapText="1"/>
      <protection hidden="1"/>
    </xf>
    <xf numFmtId="167" fontId="92" fillId="7" borderId="53" xfId="0" applyNumberFormat="1" applyFont="1" applyFill="1" applyBorder="1" applyAlignment="1" applyProtection="1">
      <alignment horizontal="center" vertical="center" wrapText="1"/>
      <protection hidden="1"/>
    </xf>
    <xf numFmtId="2" fontId="92" fillId="7" borderId="1" xfId="0" applyNumberFormat="1" applyFont="1" applyFill="1" applyBorder="1" applyAlignment="1" applyProtection="1">
      <alignment horizontal="center" vertical="center" wrapText="1"/>
      <protection hidden="1"/>
    </xf>
    <xf numFmtId="194" fontId="95" fillId="31" borderId="39" xfId="0" applyNumberFormat="1" applyFont="1" applyFill="1" applyBorder="1" applyAlignment="1" applyProtection="1">
      <alignment horizontal="center" vertical="center" wrapText="1"/>
    </xf>
    <xf numFmtId="180" fontId="95" fillId="31" borderId="9" xfId="0" applyNumberFormat="1" applyFont="1" applyFill="1" applyBorder="1" applyAlignment="1" applyProtection="1">
      <alignment horizontal="center" vertical="center" wrapText="1"/>
    </xf>
    <xf numFmtId="0" fontId="76" fillId="33" borderId="1" xfId="0" applyFont="1" applyFill="1" applyBorder="1" applyAlignment="1">
      <alignment horizontal="center" vertical="center" wrapText="1"/>
    </xf>
    <xf numFmtId="0" fontId="76" fillId="34" borderId="69" xfId="0" applyFont="1" applyFill="1" applyBorder="1" applyAlignment="1">
      <alignment horizontal="left" vertical="top"/>
    </xf>
    <xf numFmtId="0" fontId="77" fillId="0" borderId="64" xfId="0" applyFont="1" applyBorder="1" applyAlignment="1">
      <alignment horizontal="left" vertical="center" wrapText="1"/>
    </xf>
    <xf numFmtId="0" fontId="77" fillId="0" borderId="67" xfId="0" applyFont="1" applyBorder="1" applyAlignment="1">
      <alignment horizontal="left" vertical="center" wrapText="1"/>
    </xf>
    <xf numFmtId="0" fontId="76" fillId="34" borderId="2" xfId="0" applyFont="1" applyFill="1" applyBorder="1" applyAlignment="1">
      <alignment horizontal="left" vertical="center" wrapText="1"/>
    </xf>
    <xf numFmtId="0" fontId="94" fillId="0" borderId="31" xfId="0" applyFont="1" applyBorder="1" applyAlignment="1">
      <alignment horizontal="center" vertical="center" wrapText="1"/>
    </xf>
    <xf numFmtId="0" fontId="94" fillId="0" borderId="9" xfId="0" applyFont="1" applyBorder="1" applyAlignment="1">
      <alignment horizontal="center" vertical="center" wrapText="1"/>
    </xf>
    <xf numFmtId="1" fontId="94" fillId="0" borderId="9" xfId="0" applyNumberFormat="1" applyFont="1" applyBorder="1" applyAlignment="1">
      <alignment horizontal="center" vertical="center" wrapText="1"/>
    </xf>
    <xf numFmtId="186" fontId="94" fillId="0" borderId="9" xfId="0" applyNumberFormat="1" applyFont="1" applyBorder="1" applyAlignment="1">
      <alignment horizontal="center" vertical="center" wrapText="1"/>
    </xf>
    <xf numFmtId="11" fontId="94" fillId="0" borderId="9" xfId="0" applyNumberFormat="1" applyFont="1" applyBorder="1" applyAlignment="1">
      <alignment horizontal="center" vertical="center" wrapText="1"/>
    </xf>
    <xf numFmtId="1" fontId="91" fillId="0" borderId="33" xfId="0" applyNumberFormat="1" applyFont="1" applyBorder="1" applyAlignment="1">
      <alignment horizontal="center" vertical="center" wrapText="1"/>
    </xf>
    <xf numFmtId="192" fontId="91" fillId="0" borderId="33" xfId="0" applyNumberFormat="1" applyFont="1" applyBorder="1" applyAlignment="1">
      <alignment horizontal="center" vertical="center" wrapText="1"/>
    </xf>
    <xf numFmtId="0" fontId="76" fillId="34" borderId="64" xfId="0" applyFont="1" applyFill="1" applyBorder="1" applyAlignment="1">
      <alignment horizontal="left" vertical="center" wrapText="1"/>
    </xf>
    <xf numFmtId="0" fontId="94" fillId="34" borderId="9" xfId="0" applyFont="1" applyFill="1" applyBorder="1" applyAlignment="1">
      <alignment horizontal="center" vertical="center" wrapText="1"/>
    </xf>
    <xf numFmtId="167" fontId="94" fillId="0" borderId="9" xfId="0" applyNumberFormat="1" applyFont="1" applyBorder="1" applyAlignment="1">
      <alignment horizontal="center" vertical="center" wrapText="1"/>
    </xf>
    <xf numFmtId="0" fontId="94" fillId="0" borderId="9" xfId="0" applyFont="1" applyFill="1" applyBorder="1" applyAlignment="1">
      <alignment horizontal="center" vertical="center" wrapText="1"/>
    </xf>
    <xf numFmtId="9" fontId="91" fillId="0" borderId="33" xfId="0" applyNumberFormat="1" applyFont="1" applyBorder="1" applyAlignment="1">
      <alignment horizontal="center" vertical="center" wrapText="1"/>
    </xf>
    <xf numFmtId="2" fontId="94" fillId="0" borderId="9" xfId="0" applyNumberFormat="1" applyFont="1" applyFill="1" applyBorder="1" applyAlignment="1">
      <alignment horizontal="center" vertical="center" wrapText="1"/>
    </xf>
    <xf numFmtId="11" fontId="94" fillId="34" borderId="9" xfId="0" applyNumberFormat="1" applyFont="1" applyFill="1" applyBorder="1" applyAlignment="1">
      <alignment horizontal="center" vertical="center" wrapText="1"/>
    </xf>
    <xf numFmtId="191" fontId="91" fillId="0" borderId="33" xfId="0" applyNumberFormat="1" applyFont="1" applyBorder="1" applyAlignment="1">
      <alignment horizontal="center" vertical="center" wrapText="1"/>
    </xf>
    <xf numFmtId="166" fontId="94" fillId="0" borderId="9" xfId="0" applyNumberFormat="1" applyFont="1" applyBorder="1" applyAlignment="1">
      <alignment horizontal="center" vertical="center" wrapText="1"/>
    </xf>
    <xf numFmtId="0" fontId="94" fillId="0" borderId="41" xfId="0" applyFont="1" applyBorder="1" applyAlignment="1">
      <alignment horizontal="center" vertical="center" wrapText="1"/>
    </xf>
    <xf numFmtId="167" fontId="94" fillId="0" borderId="42" xfId="0" applyNumberFormat="1" applyFont="1" applyBorder="1" applyAlignment="1">
      <alignment horizontal="center" vertical="center" wrapText="1"/>
    </xf>
    <xf numFmtId="0" fontId="94" fillId="0" borderId="42" xfId="0" applyFont="1" applyBorder="1" applyAlignment="1">
      <alignment horizontal="center" vertical="center" wrapText="1"/>
    </xf>
    <xf numFmtId="2" fontId="94" fillId="0" borderId="42" xfId="0" applyNumberFormat="1" applyFont="1" applyFill="1" applyBorder="1" applyAlignment="1">
      <alignment horizontal="center" vertical="center" wrapText="1"/>
    </xf>
    <xf numFmtId="11" fontId="94" fillId="0" borderId="42" xfId="0" applyNumberFormat="1" applyFont="1" applyBorder="1" applyAlignment="1">
      <alignment horizontal="center" vertical="center" wrapText="1"/>
    </xf>
    <xf numFmtId="10" fontId="91" fillId="0" borderId="67" xfId="0" applyNumberFormat="1" applyFont="1" applyBorder="1" applyAlignment="1">
      <alignment horizontal="center" vertical="center" wrapText="1"/>
    </xf>
    <xf numFmtId="0" fontId="76" fillId="33" borderId="4" xfId="0" applyFont="1" applyFill="1" applyBorder="1" applyAlignment="1">
      <alignment horizontal="center" vertical="center" wrapText="1"/>
    </xf>
    <xf numFmtId="0" fontId="76" fillId="33" borderId="69" xfId="0" applyFont="1" applyFill="1" applyBorder="1" applyAlignment="1">
      <alignment horizontal="center" vertical="center" wrapText="1"/>
    </xf>
    <xf numFmtId="0" fontId="76" fillId="33" borderId="2" xfId="0" applyFont="1" applyFill="1" applyBorder="1" applyAlignment="1">
      <alignment horizontal="center" vertical="center" wrapText="1"/>
    </xf>
    <xf numFmtId="0" fontId="77" fillId="34" borderId="38" xfId="0" applyFont="1" applyFill="1" applyBorder="1"/>
    <xf numFmtId="0" fontId="77" fillId="34" borderId="39" xfId="0" applyFont="1" applyFill="1" applyBorder="1"/>
    <xf numFmtId="11" fontId="77" fillId="34" borderId="39" xfId="0" applyNumberFormat="1" applyFont="1" applyFill="1" applyBorder="1"/>
    <xf numFmtId="0" fontId="77" fillId="34" borderId="40" xfId="0" applyFont="1" applyFill="1" applyBorder="1"/>
    <xf numFmtId="9" fontId="76" fillId="34" borderId="40" xfId="0" applyNumberFormat="1" applyFont="1" applyFill="1" applyBorder="1" applyAlignment="1">
      <alignment horizontal="center" vertical="center"/>
    </xf>
    <xf numFmtId="0" fontId="77" fillId="0" borderId="31" xfId="0" applyFont="1" applyBorder="1" applyAlignment="1">
      <alignment horizontal="center" vertical="center" wrapText="1"/>
    </xf>
    <xf numFmtId="0" fontId="77" fillId="0" borderId="9" xfId="0" applyFont="1" applyBorder="1" applyAlignment="1">
      <alignment horizontal="center" vertical="center" wrapText="1"/>
    </xf>
    <xf numFmtId="187" fontId="77" fillId="0" borderId="9" xfId="0" applyNumberFormat="1" applyFont="1" applyBorder="1" applyAlignment="1">
      <alignment horizontal="center" vertical="center" wrapText="1"/>
    </xf>
    <xf numFmtId="1" fontId="77" fillId="0" borderId="9" xfId="0" applyNumberFormat="1" applyFont="1" applyBorder="1" applyAlignment="1">
      <alignment horizontal="center" vertical="center" wrapText="1"/>
    </xf>
    <xf numFmtId="186" fontId="77" fillId="0" borderId="9" xfId="0" applyNumberFormat="1" applyFont="1" applyBorder="1" applyAlignment="1">
      <alignment horizontal="center" vertical="center" wrapText="1"/>
    </xf>
    <xf numFmtId="185" fontId="77" fillId="0" borderId="9" xfId="0" applyNumberFormat="1" applyFont="1" applyBorder="1" applyAlignment="1">
      <alignment horizontal="center" vertical="center" wrapText="1"/>
    </xf>
    <xf numFmtId="11" fontId="77" fillId="0" borderId="9" xfId="0" applyNumberFormat="1" applyFont="1" applyBorder="1" applyAlignment="1">
      <alignment horizontal="center" vertical="center" wrapText="1"/>
    </xf>
    <xf numFmtId="1" fontId="76" fillId="0" borderId="33" xfId="0" applyNumberFormat="1" applyFont="1" applyBorder="1" applyAlignment="1">
      <alignment horizontal="center" vertical="center" wrapText="1"/>
    </xf>
    <xf numFmtId="192" fontId="76" fillId="0" borderId="33" xfId="0" applyNumberFormat="1" applyFont="1" applyBorder="1" applyAlignment="1">
      <alignment horizontal="center" vertical="center" wrapText="1"/>
    </xf>
    <xf numFmtId="167" fontId="76" fillId="34" borderId="31" xfId="0" applyNumberFormat="1" applyFont="1" applyFill="1" applyBorder="1" applyAlignment="1">
      <alignment horizontal="center" vertical="center" wrapText="1"/>
    </xf>
    <xf numFmtId="0" fontId="77" fillId="34" borderId="9" xfId="0" applyFont="1" applyFill="1" applyBorder="1" applyAlignment="1">
      <alignment horizontal="center" vertical="center" wrapText="1"/>
    </xf>
    <xf numFmtId="186" fontId="77" fillId="34" borderId="9" xfId="0" applyNumberFormat="1" applyFont="1" applyFill="1" applyBorder="1" applyAlignment="1">
      <alignment horizontal="center" vertical="center" wrapText="1"/>
    </xf>
    <xf numFmtId="185" fontId="77" fillId="34" borderId="9" xfId="0" applyNumberFormat="1" applyFont="1" applyFill="1" applyBorder="1" applyAlignment="1">
      <alignment horizontal="center" vertical="center" wrapText="1"/>
    </xf>
    <xf numFmtId="0" fontId="77" fillId="34" borderId="33" xfId="0" applyFont="1" applyFill="1" applyBorder="1" applyAlignment="1">
      <alignment horizontal="center" vertical="center" wrapText="1"/>
    </xf>
    <xf numFmtId="167" fontId="77" fillId="0" borderId="31" xfId="0" applyNumberFormat="1" applyFont="1" applyBorder="1" applyAlignment="1">
      <alignment horizontal="center" vertical="center" wrapText="1"/>
    </xf>
    <xf numFmtId="167" fontId="77" fillId="0" borderId="9" xfId="0" applyNumberFormat="1" applyFont="1" applyBorder="1" applyAlignment="1">
      <alignment horizontal="center" vertical="center" wrapText="1"/>
    </xf>
    <xf numFmtId="0" fontId="77" fillId="0" borderId="9" xfId="0" applyFont="1" applyFill="1" applyBorder="1" applyAlignment="1">
      <alignment horizontal="center" vertical="center" wrapText="1"/>
    </xf>
    <xf numFmtId="2" fontId="77" fillId="0" borderId="9" xfId="0" applyNumberFormat="1" applyFont="1" applyBorder="1" applyAlignment="1">
      <alignment horizontal="center" vertical="center" wrapText="1"/>
    </xf>
    <xf numFmtId="171" fontId="77" fillId="0" borderId="9" xfId="0" applyNumberFormat="1" applyFont="1" applyBorder="1" applyAlignment="1">
      <alignment horizontal="center" vertical="center" wrapText="1"/>
    </xf>
    <xf numFmtId="9" fontId="76" fillId="0" borderId="33" xfId="0" applyNumberFormat="1" applyFont="1" applyBorder="1" applyAlignment="1">
      <alignment horizontal="center" vertical="center" wrapText="1"/>
    </xf>
    <xf numFmtId="2" fontId="77" fillId="0" borderId="9" xfId="0" applyNumberFormat="1" applyFont="1" applyFill="1" applyBorder="1" applyAlignment="1">
      <alignment horizontal="center" vertical="center" wrapText="1"/>
    </xf>
    <xf numFmtId="0" fontId="76" fillId="0" borderId="33" xfId="0" applyFont="1" applyBorder="1" applyAlignment="1">
      <alignment horizontal="center" vertical="center" wrapText="1"/>
    </xf>
    <xf numFmtId="10" fontId="76" fillId="0" borderId="33" xfId="0" applyNumberFormat="1" applyFont="1" applyBorder="1" applyAlignment="1">
      <alignment horizontal="center" vertical="center" wrapText="1"/>
    </xf>
    <xf numFmtId="11" fontId="77" fillId="34" borderId="9" xfId="0" applyNumberFormat="1" applyFont="1" applyFill="1" applyBorder="1" applyAlignment="1">
      <alignment horizontal="center" vertical="center" wrapText="1"/>
    </xf>
    <xf numFmtId="191" fontId="76" fillId="0" borderId="33" xfId="0" applyNumberFormat="1" applyFont="1" applyBorder="1" applyAlignment="1">
      <alignment horizontal="center" vertical="center" wrapText="1"/>
    </xf>
    <xf numFmtId="166" fontId="77" fillId="0" borderId="9" xfId="0" applyNumberFormat="1" applyFont="1" applyBorder="1" applyAlignment="1">
      <alignment horizontal="center" vertical="center" wrapText="1"/>
    </xf>
    <xf numFmtId="0" fontId="77" fillId="0" borderId="41" xfId="0" applyFont="1" applyBorder="1" applyAlignment="1">
      <alignment horizontal="center" vertical="center" wrapText="1"/>
    </xf>
    <xf numFmtId="0" fontId="77" fillId="0" borderId="42" xfId="0" applyFont="1" applyBorder="1" applyAlignment="1">
      <alignment horizontal="center" vertical="center" wrapText="1"/>
    </xf>
    <xf numFmtId="167" fontId="77" fillId="0" borderId="42" xfId="0" applyNumberFormat="1" applyFont="1" applyBorder="1" applyAlignment="1">
      <alignment horizontal="center" vertical="center" wrapText="1"/>
    </xf>
    <xf numFmtId="2" fontId="77" fillId="0" borderId="42" xfId="0" applyNumberFormat="1" applyFont="1" applyFill="1" applyBorder="1" applyAlignment="1">
      <alignment horizontal="center" vertical="center" wrapText="1"/>
    </xf>
    <xf numFmtId="11" fontId="77" fillId="0" borderId="42" xfId="0" applyNumberFormat="1" applyFont="1" applyBorder="1" applyAlignment="1">
      <alignment horizontal="center" vertical="center" wrapText="1"/>
    </xf>
    <xf numFmtId="185" fontId="77" fillId="0" borderId="42" xfId="0" applyNumberFormat="1" applyFont="1" applyBorder="1" applyAlignment="1">
      <alignment horizontal="center" vertical="center" wrapText="1"/>
    </xf>
    <xf numFmtId="0" fontId="76" fillId="0" borderId="36" xfId="0" applyFont="1" applyBorder="1" applyAlignment="1">
      <alignment horizontal="center" vertical="center" wrapText="1"/>
    </xf>
    <xf numFmtId="10" fontId="76" fillId="0" borderId="67" xfId="0" applyNumberFormat="1" applyFont="1" applyBorder="1" applyAlignment="1">
      <alignment horizontal="center" vertical="center" wrapText="1"/>
    </xf>
    <xf numFmtId="165" fontId="76" fillId="0" borderId="48" xfId="0" applyNumberFormat="1" applyFont="1" applyBorder="1" applyAlignment="1">
      <alignment horizontal="center"/>
    </xf>
    <xf numFmtId="0" fontId="77" fillId="0" borderId="0" xfId="0" applyFont="1" applyBorder="1" applyAlignment="1"/>
    <xf numFmtId="0" fontId="77" fillId="0" borderId="47" xfId="0" applyFont="1" applyBorder="1" applyAlignment="1"/>
    <xf numFmtId="171" fontId="76" fillId="0" borderId="1" xfId="0" applyNumberFormat="1" applyFont="1" applyBorder="1" applyAlignment="1">
      <alignment horizontal="center"/>
    </xf>
    <xf numFmtId="0" fontId="77" fillId="0" borderId="0" xfId="0" applyFont="1"/>
    <xf numFmtId="11" fontId="77" fillId="0" borderId="0" xfId="0" applyNumberFormat="1" applyFont="1"/>
    <xf numFmtId="0" fontId="76" fillId="0" borderId="64" xfId="0" applyFont="1" applyBorder="1"/>
    <xf numFmtId="0" fontId="76" fillId="0" borderId="72" xfId="0" applyFont="1" applyFill="1" applyBorder="1" applyAlignment="1">
      <alignment horizontal="left" vertical="center" wrapText="1"/>
    </xf>
    <xf numFmtId="0" fontId="76" fillId="0" borderId="64" xfId="0" applyFont="1" applyFill="1" applyBorder="1" applyAlignment="1">
      <alignment horizontal="left" vertical="center" wrapText="1"/>
    </xf>
    <xf numFmtId="0" fontId="76" fillId="0" borderId="64" xfId="0" applyFont="1" applyBorder="1" applyAlignment="1">
      <alignment horizontal="left" vertical="center" wrapText="1"/>
    </xf>
    <xf numFmtId="0" fontId="76" fillId="2" borderId="67" xfId="0" applyFont="1" applyFill="1" applyBorder="1"/>
    <xf numFmtId="0" fontId="77" fillId="0" borderId="12" xfId="0" applyFont="1" applyBorder="1" applyAlignment="1">
      <alignment horizontal="center" vertical="center" wrapText="1"/>
    </xf>
    <xf numFmtId="0" fontId="76" fillId="0" borderId="35" xfId="0" applyFont="1" applyFill="1" applyBorder="1" applyAlignment="1">
      <alignment horizontal="center"/>
    </xf>
    <xf numFmtId="0" fontId="76" fillId="34" borderId="9" xfId="0" applyFont="1" applyFill="1" applyBorder="1" applyAlignment="1">
      <alignment horizontal="center" vertical="center" wrapText="1"/>
    </xf>
    <xf numFmtId="0" fontId="94" fillId="0" borderId="14" xfId="0" applyFont="1" applyBorder="1" applyAlignment="1">
      <alignment horizontal="center" vertical="center" wrapText="1"/>
    </xf>
    <xf numFmtId="0" fontId="80" fillId="7" borderId="39" xfId="0" applyFont="1" applyFill="1" applyBorder="1" applyAlignment="1" applyProtection="1">
      <alignment horizontal="center" vertical="center" wrapText="1"/>
      <protection hidden="1"/>
    </xf>
    <xf numFmtId="0" fontId="1" fillId="0" borderId="0" xfId="0" applyFont="1" applyProtection="1">
      <protection hidden="1"/>
    </xf>
    <xf numFmtId="168" fontId="76" fillId="34" borderId="46" xfId="0" applyNumberFormat="1" applyFont="1" applyFill="1" applyBorder="1" applyAlignment="1">
      <alignment horizontal="center" vertical="center" wrapText="1"/>
    </xf>
    <xf numFmtId="0" fontId="77" fillId="34" borderId="39" xfId="0" applyFont="1" applyFill="1" applyBorder="1" applyAlignment="1">
      <alignment horizontal="center" vertical="center" wrapText="1"/>
    </xf>
    <xf numFmtId="0" fontId="77" fillId="34" borderId="30" xfId="0" applyFont="1" applyFill="1" applyBorder="1" applyAlignment="1">
      <alignment horizontal="center" vertical="center" wrapText="1"/>
    </xf>
    <xf numFmtId="0" fontId="77" fillId="34" borderId="66" xfId="0" applyFont="1" applyFill="1" applyBorder="1" applyAlignment="1">
      <alignment horizontal="center" vertical="center" wrapText="1"/>
    </xf>
    <xf numFmtId="168" fontId="76" fillId="0" borderId="14" xfId="0" applyNumberFormat="1" applyFont="1" applyBorder="1" applyAlignment="1">
      <alignment horizontal="center" vertical="center" wrapText="1"/>
    </xf>
    <xf numFmtId="166" fontId="77" fillId="34" borderId="9" xfId="0" applyNumberFormat="1" applyFont="1" applyFill="1" applyBorder="1" applyAlignment="1">
      <alignment horizontal="center" vertical="center" wrapText="1"/>
    </xf>
    <xf numFmtId="0" fontId="77" fillId="34" borderId="11" xfId="0" applyFont="1" applyFill="1" applyBorder="1" applyAlignment="1">
      <alignment horizontal="center" vertical="center" wrapText="1"/>
    </xf>
    <xf numFmtId="0" fontId="77" fillId="34" borderId="64" xfId="0" applyFont="1" applyFill="1" applyBorder="1" applyAlignment="1">
      <alignment horizontal="center" vertical="center" wrapText="1"/>
    </xf>
    <xf numFmtId="0" fontId="77" fillId="0" borderId="14" xfId="0" applyFont="1" applyBorder="1" applyAlignment="1">
      <alignment horizontal="center" vertical="center" wrapText="1"/>
    </xf>
    <xf numFmtId="170" fontId="77" fillId="0" borderId="9" xfId="0" applyNumberFormat="1" applyFont="1" applyBorder="1" applyAlignment="1">
      <alignment horizontal="center" vertical="center" wrapText="1"/>
    </xf>
    <xf numFmtId="165" fontId="77" fillId="0" borderId="9" xfId="0" applyNumberFormat="1" applyFont="1" applyBorder="1" applyAlignment="1">
      <alignment horizontal="center" vertical="center" wrapText="1"/>
    </xf>
    <xf numFmtId="182" fontId="77" fillId="0" borderId="9" xfId="0" applyNumberFormat="1" applyFont="1" applyBorder="1" applyAlignment="1">
      <alignment horizontal="center" vertical="center" wrapText="1"/>
    </xf>
    <xf numFmtId="182" fontId="77" fillId="0" borderId="11" xfId="0" applyNumberFormat="1" applyFont="1" applyBorder="1" applyAlignment="1">
      <alignment horizontal="center" vertical="center" wrapText="1"/>
    </xf>
    <xf numFmtId="1" fontId="77" fillId="0" borderId="14" xfId="0" applyNumberFormat="1" applyFont="1" applyBorder="1" applyAlignment="1">
      <alignment horizontal="center" vertical="center" wrapText="1"/>
    </xf>
    <xf numFmtId="2" fontId="77" fillId="38" borderId="9" xfId="0" applyNumberFormat="1" applyFont="1" applyFill="1" applyBorder="1" applyAlignment="1">
      <alignment horizontal="center" vertical="center" wrapText="1"/>
    </xf>
    <xf numFmtId="0" fontId="77" fillId="38" borderId="9" xfId="0" applyFont="1" applyFill="1" applyBorder="1" applyAlignment="1">
      <alignment horizontal="center" vertical="center" wrapText="1"/>
    </xf>
    <xf numFmtId="189" fontId="77" fillId="0" borderId="9" xfId="0" applyNumberFormat="1" applyFont="1" applyBorder="1" applyAlignment="1">
      <alignment horizontal="center" vertical="center" wrapText="1"/>
    </xf>
    <xf numFmtId="164" fontId="76" fillId="0" borderId="14" xfId="0" applyNumberFormat="1" applyFont="1" applyBorder="1" applyAlignment="1">
      <alignment horizontal="center" vertical="center" wrapText="1"/>
    </xf>
    <xf numFmtId="2" fontId="77" fillId="34" borderId="9" xfId="0" applyNumberFormat="1" applyFont="1" applyFill="1" applyBorder="1" applyAlignment="1">
      <alignment horizontal="center" vertical="center" wrapText="1"/>
    </xf>
    <xf numFmtId="165" fontId="77" fillId="34" borderId="9" xfId="0" applyNumberFormat="1" applyFont="1" applyFill="1" applyBorder="1" applyAlignment="1">
      <alignment horizontal="center" vertical="center" wrapText="1"/>
    </xf>
    <xf numFmtId="171" fontId="76" fillId="0" borderId="14" xfId="0" applyNumberFormat="1" applyFont="1" applyBorder="1" applyAlignment="1">
      <alignment horizontal="center" vertical="center" wrapText="1"/>
    </xf>
    <xf numFmtId="168" fontId="77" fillId="0" borderId="9" xfId="0" applyNumberFormat="1" applyFont="1" applyBorder="1" applyAlignment="1">
      <alignment horizontal="center" vertical="center" wrapText="1"/>
    </xf>
    <xf numFmtId="1" fontId="76" fillId="0" borderId="14" xfId="0" applyNumberFormat="1" applyFont="1" applyBorder="1" applyAlignment="1">
      <alignment horizontal="center" vertical="center" wrapText="1"/>
    </xf>
    <xf numFmtId="166" fontId="77" fillId="0" borderId="9" xfId="0" applyNumberFormat="1" applyFont="1" applyFill="1" applyBorder="1" applyAlignment="1">
      <alignment horizontal="center" vertical="center" wrapText="1"/>
    </xf>
    <xf numFmtId="164" fontId="77" fillId="0" borderId="9" xfId="0" applyNumberFormat="1" applyFont="1" applyBorder="1" applyAlignment="1">
      <alignment horizontal="center" vertical="center" wrapText="1"/>
    </xf>
    <xf numFmtId="11" fontId="76" fillId="0" borderId="14" xfId="0" applyNumberFormat="1" applyFont="1" applyFill="1" applyBorder="1" applyAlignment="1" applyProtection="1">
      <alignment horizontal="center" vertical="center" wrapText="1"/>
      <protection locked="0"/>
    </xf>
    <xf numFmtId="166" fontId="76" fillId="0" borderId="14" xfId="0" applyNumberFormat="1" applyFont="1" applyBorder="1" applyAlignment="1">
      <alignment horizontal="center" vertical="center" wrapText="1"/>
    </xf>
    <xf numFmtId="165" fontId="77" fillId="0" borderId="9" xfId="0" applyNumberFormat="1" applyFont="1" applyFill="1" applyBorder="1" applyAlignment="1">
      <alignment horizontal="center" vertical="center" wrapText="1"/>
    </xf>
    <xf numFmtId="11" fontId="77" fillId="0" borderId="9" xfId="0" applyNumberFormat="1" applyFont="1" applyFill="1" applyBorder="1" applyAlignment="1">
      <alignment horizontal="center" vertical="center" wrapText="1"/>
    </xf>
    <xf numFmtId="166" fontId="77" fillId="38" borderId="9" xfId="0" applyNumberFormat="1" applyFont="1" applyFill="1" applyBorder="1" applyAlignment="1">
      <alignment horizontal="center" vertical="center" wrapText="1"/>
    </xf>
    <xf numFmtId="1" fontId="77" fillId="0" borderId="9" xfId="0" applyNumberFormat="1" applyFont="1" applyFill="1" applyBorder="1" applyAlignment="1">
      <alignment horizontal="center" vertical="center" wrapText="1"/>
    </xf>
    <xf numFmtId="165" fontId="77" fillId="38" borderId="9" xfId="0" applyNumberFormat="1" applyFont="1" applyFill="1" applyBorder="1" applyAlignment="1">
      <alignment horizontal="center" vertical="center" wrapText="1"/>
    </xf>
    <xf numFmtId="1" fontId="77" fillId="2" borderId="14" xfId="0" applyNumberFormat="1" applyFont="1" applyFill="1" applyBorder="1" applyAlignment="1">
      <alignment horizontal="center" vertical="center" wrapText="1"/>
    </xf>
    <xf numFmtId="167" fontId="77" fillId="0" borderId="9" xfId="0" applyNumberFormat="1" applyFont="1" applyFill="1" applyBorder="1" applyAlignment="1">
      <alignment horizontal="center" vertical="center" wrapText="1"/>
    </xf>
    <xf numFmtId="168" fontId="77" fillId="0" borderId="9" xfId="0" applyNumberFormat="1" applyFont="1" applyFill="1" applyBorder="1" applyAlignment="1">
      <alignment horizontal="center" vertical="center" wrapText="1"/>
    </xf>
    <xf numFmtId="2" fontId="77" fillId="36" borderId="9" xfId="0" applyNumberFormat="1" applyFont="1" applyFill="1" applyBorder="1" applyAlignment="1">
      <alignment horizontal="center" vertical="center" wrapText="1"/>
    </xf>
    <xf numFmtId="11" fontId="77" fillId="14" borderId="9" xfId="0" applyNumberFormat="1" applyFont="1" applyFill="1" applyBorder="1" applyAlignment="1">
      <alignment horizontal="center" vertical="center" wrapText="1"/>
    </xf>
    <xf numFmtId="167" fontId="77" fillId="36" borderId="9" xfId="0" applyNumberFormat="1" applyFont="1" applyFill="1" applyBorder="1" applyAlignment="1">
      <alignment horizontal="center" vertical="center" wrapText="1"/>
    </xf>
    <xf numFmtId="1" fontId="77" fillId="2" borderId="25" xfId="0" applyNumberFormat="1" applyFont="1" applyFill="1" applyBorder="1" applyAlignment="1">
      <alignment horizontal="center" vertical="center" wrapText="1"/>
    </xf>
    <xf numFmtId="2" fontId="77" fillId="37" borderId="12" xfId="0" applyNumberFormat="1" applyFont="1" applyFill="1" applyBorder="1" applyAlignment="1">
      <alignment horizontal="center" vertical="center" wrapText="1"/>
    </xf>
    <xf numFmtId="168" fontId="77" fillId="0" borderId="12" xfId="0" applyNumberFormat="1" applyFont="1" applyFill="1" applyBorder="1" applyAlignment="1">
      <alignment horizontal="center" vertical="center" wrapText="1"/>
    </xf>
    <xf numFmtId="165" fontId="77" fillId="0" borderId="12" xfId="0" applyNumberFormat="1" applyFont="1" applyBorder="1" applyAlignment="1">
      <alignment horizontal="center" vertical="center" wrapText="1"/>
    </xf>
    <xf numFmtId="11" fontId="77" fillId="0" borderId="12" xfId="0" applyNumberFormat="1" applyFont="1" applyBorder="1" applyAlignment="1">
      <alignment horizontal="center" vertical="center" wrapText="1"/>
    </xf>
    <xf numFmtId="182" fontId="77" fillId="0" borderId="12" xfId="0" applyNumberFormat="1" applyFont="1" applyBorder="1" applyAlignment="1">
      <alignment horizontal="center" vertical="center" wrapText="1"/>
    </xf>
    <xf numFmtId="182" fontId="77" fillId="0" borderId="24" xfId="0" applyNumberFormat="1" applyFont="1" applyBorder="1" applyAlignment="1">
      <alignment horizontal="center" vertical="center" wrapText="1"/>
    </xf>
    <xf numFmtId="2" fontId="76" fillId="2" borderId="14" xfId="0" applyNumberFormat="1" applyFont="1" applyFill="1" applyBorder="1" applyAlignment="1">
      <alignment horizontal="center" vertical="center" wrapText="1"/>
    </xf>
    <xf numFmtId="1" fontId="77" fillId="34" borderId="9" xfId="0" applyNumberFormat="1" applyFont="1" applyFill="1" applyBorder="1" applyAlignment="1">
      <alignment horizontal="center" vertical="center" wrapText="1"/>
    </xf>
    <xf numFmtId="182" fontId="77" fillId="34" borderId="9" xfId="0" applyNumberFormat="1" applyFont="1" applyFill="1" applyBorder="1" applyAlignment="1">
      <alignment horizontal="center" vertical="center" wrapText="1"/>
    </xf>
    <xf numFmtId="182" fontId="77" fillId="34" borderId="11" xfId="0" applyNumberFormat="1" applyFont="1" applyFill="1" applyBorder="1" applyAlignment="1">
      <alignment horizontal="center" vertical="center" wrapText="1"/>
    </xf>
    <xf numFmtId="9" fontId="76" fillId="34" borderId="67" xfId="11" applyFont="1" applyFill="1" applyBorder="1" applyAlignment="1">
      <alignment horizontal="center" vertical="center" wrapText="1"/>
    </xf>
    <xf numFmtId="2" fontId="76" fillId="0" borderId="16" xfId="0" applyNumberFormat="1" applyFont="1" applyBorder="1" applyAlignment="1">
      <alignment horizontal="center"/>
    </xf>
    <xf numFmtId="0" fontId="77" fillId="0" borderId="10" xfId="0" applyFont="1" applyBorder="1" applyAlignment="1"/>
    <xf numFmtId="0" fontId="77" fillId="0" borderId="0" xfId="0" applyFont="1" applyAlignment="1"/>
    <xf numFmtId="168" fontId="76" fillId="0" borderId="14" xfId="0" applyNumberFormat="1" applyFont="1" applyBorder="1" applyAlignment="1">
      <alignment horizontal="center"/>
    </xf>
    <xf numFmtId="0" fontId="76" fillId="0" borderId="33" xfId="0" applyFont="1" applyFill="1" applyBorder="1"/>
    <xf numFmtId="182" fontId="76" fillId="0" borderId="55" xfId="0" applyNumberFormat="1" applyFont="1" applyBorder="1" applyAlignment="1">
      <alignment horizontal="center"/>
    </xf>
    <xf numFmtId="0" fontId="76" fillId="0" borderId="36" xfId="0" applyFont="1" applyFill="1" applyBorder="1"/>
    <xf numFmtId="2" fontId="77" fillId="0" borderId="0" xfId="0" applyNumberFormat="1" applyFont="1" applyAlignment="1"/>
    <xf numFmtId="0" fontId="77" fillId="0" borderId="0" xfId="0" applyFont="1" applyAlignment="1">
      <alignment horizontal="center"/>
    </xf>
    <xf numFmtId="2" fontId="76" fillId="0" borderId="48" xfId="0" applyNumberFormat="1" applyFont="1" applyBorder="1" applyAlignment="1">
      <alignment horizontal="center" vertical="center" wrapText="1"/>
    </xf>
    <xf numFmtId="0" fontId="77" fillId="0" borderId="48" xfId="0" applyFont="1" applyBorder="1" applyAlignment="1">
      <alignment horizontal="center" vertical="center" wrapText="1"/>
    </xf>
    <xf numFmtId="1" fontId="76" fillId="0" borderId="1" xfId="0" applyNumberFormat="1" applyFont="1" applyBorder="1" applyAlignment="1">
      <alignment horizontal="center" vertical="center" wrapText="1"/>
    </xf>
    <xf numFmtId="2" fontId="76" fillId="0" borderId="1" xfId="0" applyNumberFormat="1" applyFont="1" applyBorder="1" applyAlignment="1">
      <alignment horizontal="center" vertical="center" wrapText="1"/>
    </xf>
    <xf numFmtId="167" fontId="76" fillId="0" borderId="1" xfId="0" applyNumberFormat="1" applyFont="1" applyBorder="1" applyAlignment="1">
      <alignment horizontal="center" vertical="center" wrapText="1"/>
    </xf>
    <xf numFmtId="0" fontId="77" fillId="0" borderId="1" xfId="0" applyFont="1" applyBorder="1" applyAlignment="1">
      <alignment horizontal="center" vertical="center" wrapText="1"/>
    </xf>
    <xf numFmtId="165" fontId="76" fillId="0" borderId="1" xfId="0" applyNumberFormat="1" applyFont="1" applyBorder="1" applyAlignment="1">
      <alignment horizontal="center" vertical="center" wrapText="1"/>
    </xf>
    <xf numFmtId="166" fontId="76" fillId="0" borderId="1" xfId="11" applyNumberFormat="1" applyFont="1" applyBorder="1" applyAlignment="1">
      <alignment horizontal="center" vertical="center" wrapText="1"/>
    </xf>
    <xf numFmtId="0" fontId="76" fillId="5" borderId="20" xfId="0" applyFont="1" applyFill="1" applyBorder="1" applyAlignment="1" applyProtection="1">
      <alignment horizontal="center" vertical="center" wrapText="1"/>
      <protection hidden="1"/>
    </xf>
    <xf numFmtId="0" fontId="76" fillId="5" borderId="21" xfId="0" applyFont="1" applyFill="1" applyBorder="1" applyAlignment="1" applyProtection="1">
      <alignment horizontal="center" vertical="center" wrapText="1"/>
      <protection hidden="1"/>
    </xf>
    <xf numFmtId="0" fontId="76" fillId="34" borderId="2" xfId="0" applyFont="1" applyFill="1" applyBorder="1" applyAlignment="1">
      <alignment horizontal="center" vertical="center" wrapText="1"/>
    </xf>
    <xf numFmtId="0" fontId="76" fillId="0" borderId="34" xfId="0" applyFont="1" applyBorder="1" applyAlignment="1">
      <alignment horizontal="center" vertical="center" wrapText="1"/>
    </xf>
    <xf numFmtId="0" fontId="76" fillId="34" borderId="34" xfId="0" applyFont="1" applyFill="1" applyBorder="1" applyAlignment="1">
      <alignment horizontal="center" vertical="center" wrapText="1"/>
    </xf>
    <xf numFmtId="0" fontId="76" fillId="0" borderId="54" xfId="0" applyFont="1" applyBorder="1" applyAlignment="1">
      <alignment horizontal="center" vertical="center" wrapText="1"/>
    </xf>
    <xf numFmtId="0" fontId="76" fillId="34" borderId="1" xfId="0" applyFont="1" applyFill="1" applyBorder="1" applyAlignment="1">
      <alignment horizontal="center" vertical="center"/>
    </xf>
    <xf numFmtId="0" fontId="94" fillId="0" borderId="11" xfId="0" applyFont="1" applyBorder="1" applyAlignment="1">
      <alignment horizontal="center" vertical="center" wrapText="1"/>
    </xf>
    <xf numFmtId="188" fontId="91" fillId="0" borderId="33" xfId="0" applyNumberFormat="1" applyFont="1" applyBorder="1" applyAlignment="1">
      <alignment horizontal="center" vertical="center" wrapText="1"/>
    </xf>
    <xf numFmtId="166" fontId="91" fillId="34" borderId="31" xfId="0" applyNumberFormat="1" applyFont="1" applyFill="1" applyBorder="1" applyAlignment="1">
      <alignment horizontal="center" vertical="center" wrapText="1"/>
    </xf>
    <xf numFmtId="0" fontId="94" fillId="34" borderId="17" xfId="0" applyFont="1" applyFill="1" applyBorder="1" applyAlignment="1">
      <alignment horizontal="center" vertical="center" wrapText="1"/>
    </xf>
    <xf numFmtId="0" fontId="91" fillId="34" borderId="33" xfId="0" applyFont="1" applyFill="1" applyBorder="1" applyAlignment="1">
      <alignment horizontal="center" vertical="center" wrapText="1"/>
    </xf>
    <xf numFmtId="1" fontId="94" fillId="0" borderId="31" xfId="0" applyNumberFormat="1" applyFont="1" applyBorder="1" applyAlignment="1">
      <alignment horizontal="center" vertical="center" wrapText="1"/>
    </xf>
    <xf numFmtId="165" fontId="91" fillId="35" borderId="9" xfId="0" applyNumberFormat="1" applyFont="1" applyFill="1" applyBorder="1" applyAlignment="1">
      <alignment horizontal="center" vertical="center" wrapText="1"/>
    </xf>
    <xf numFmtId="190" fontId="91" fillId="0" borderId="33" xfId="0" applyNumberFormat="1" applyFont="1" applyBorder="1" applyAlignment="1">
      <alignment horizontal="center" vertical="center" wrapText="1"/>
    </xf>
    <xf numFmtId="2" fontId="91" fillId="34" borderId="31" xfId="0" applyNumberFormat="1" applyFont="1" applyFill="1" applyBorder="1" applyAlignment="1">
      <alignment horizontal="center" vertical="center" wrapText="1"/>
    </xf>
    <xf numFmtId="193" fontId="91" fillId="0" borderId="33" xfId="0" applyNumberFormat="1" applyFont="1" applyBorder="1" applyAlignment="1">
      <alignment horizontal="center" vertical="center" wrapText="1"/>
    </xf>
    <xf numFmtId="186" fontId="94" fillId="0" borderId="42" xfId="0" applyNumberFormat="1" applyFont="1" applyBorder="1" applyAlignment="1">
      <alignment horizontal="center" vertical="center" wrapText="1"/>
    </xf>
    <xf numFmtId="1" fontId="91" fillId="0" borderId="58" xfId="0" applyNumberFormat="1" applyFont="1" applyBorder="1" applyAlignment="1">
      <alignment horizontal="center" vertical="center" wrapText="1"/>
    </xf>
    <xf numFmtId="171" fontId="91" fillId="0" borderId="1" xfId="0" applyNumberFormat="1" applyFont="1" applyBorder="1" applyAlignment="1">
      <alignment horizontal="center" vertical="center" wrapText="1"/>
    </xf>
    <xf numFmtId="0" fontId="91" fillId="0" borderId="0" xfId="0" applyFont="1" applyFill="1" applyBorder="1" applyAlignment="1">
      <alignment horizontal="center" vertical="center" wrapText="1"/>
    </xf>
    <xf numFmtId="9" fontId="91" fillId="0" borderId="0" xfId="0" applyNumberFormat="1" applyFont="1" applyBorder="1" applyAlignment="1">
      <alignment horizontal="center" vertical="center" wrapText="1"/>
    </xf>
    <xf numFmtId="171" fontId="91" fillId="2" borderId="0" xfId="0" applyNumberFormat="1" applyFont="1" applyFill="1" applyBorder="1" applyAlignment="1">
      <alignment horizontal="center" vertical="center" wrapText="1"/>
    </xf>
    <xf numFmtId="0" fontId="94" fillId="0" borderId="0" xfId="0" applyFont="1" applyAlignment="1">
      <alignment horizontal="center" vertical="center" wrapText="1"/>
    </xf>
    <xf numFmtId="11" fontId="94" fillId="0" borderId="9" xfId="12" applyNumberFormat="1" applyFont="1" applyFill="1" applyBorder="1" applyAlignment="1">
      <alignment horizontal="center" vertical="center" wrapText="1"/>
    </xf>
    <xf numFmtId="11" fontId="91" fillId="0" borderId="48" xfId="0" applyNumberFormat="1" applyFont="1" applyFill="1" applyBorder="1" applyAlignment="1">
      <alignment horizontal="center" vertical="center" wrapText="1"/>
    </xf>
    <xf numFmtId="0" fontId="91" fillId="0" borderId="1" xfId="0" applyFont="1" applyFill="1" applyBorder="1" applyAlignment="1" applyProtection="1">
      <alignment horizontal="center" vertical="center" wrapText="1"/>
      <protection locked="0"/>
    </xf>
    <xf numFmtId="1" fontId="91" fillId="0" borderId="69" xfId="0" applyNumberFormat="1" applyFont="1" applyBorder="1" applyAlignment="1">
      <alignment horizontal="center" vertical="center" wrapText="1"/>
    </xf>
    <xf numFmtId="167" fontId="91" fillId="0" borderId="69" xfId="0" applyNumberFormat="1" applyFont="1" applyBorder="1" applyAlignment="1">
      <alignment horizontal="center" vertical="center" wrapText="1"/>
    </xf>
    <xf numFmtId="11" fontId="91" fillId="0" borderId="1" xfId="0" applyNumberFormat="1" applyFont="1" applyBorder="1" applyAlignment="1">
      <alignment horizontal="center" vertical="center" wrapText="1"/>
    </xf>
    <xf numFmtId="11" fontId="76" fillId="0" borderId="48" xfId="0" applyNumberFormat="1" applyFont="1" applyBorder="1" applyAlignment="1">
      <alignment horizontal="center" vertical="center" wrapText="1"/>
    </xf>
    <xf numFmtId="0" fontId="76" fillId="0" borderId="48" xfId="0" applyFont="1" applyFill="1" applyBorder="1" applyAlignment="1" applyProtection="1">
      <alignment horizontal="center" vertical="center" wrapText="1"/>
      <protection locked="0"/>
    </xf>
    <xf numFmtId="11" fontId="76" fillId="0" borderId="1" xfId="0" applyNumberFormat="1" applyFont="1" applyBorder="1" applyAlignment="1">
      <alignment horizontal="center" vertical="center" wrapText="1"/>
    </xf>
    <xf numFmtId="0" fontId="76" fillId="0" borderId="1" xfId="0" applyFont="1" applyFill="1" applyBorder="1" applyAlignment="1" applyProtection="1">
      <alignment horizontal="center" vertical="center" wrapText="1"/>
      <protection locked="0"/>
    </xf>
    <xf numFmtId="11" fontId="76" fillId="2" borderId="1" xfId="0" applyNumberFormat="1" applyFont="1" applyFill="1" applyBorder="1" applyAlignment="1">
      <alignment horizontal="center" vertical="center" wrapText="1"/>
    </xf>
    <xf numFmtId="0" fontId="77" fillId="34" borderId="38" xfId="0" applyFont="1" applyFill="1" applyBorder="1" applyAlignment="1">
      <alignment horizontal="center"/>
    </xf>
    <xf numFmtId="0" fontId="77" fillId="34" borderId="39" xfId="0" applyFont="1" applyFill="1" applyBorder="1" applyAlignment="1">
      <alignment horizontal="center"/>
    </xf>
    <xf numFmtId="0" fontId="77" fillId="34" borderId="65" xfId="0" applyFont="1" applyFill="1" applyBorder="1" applyAlignment="1">
      <alignment horizontal="center"/>
    </xf>
    <xf numFmtId="11" fontId="77" fillId="34" borderId="39" xfId="0" applyNumberFormat="1" applyFont="1" applyFill="1" applyBorder="1" applyAlignment="1">
      <alignment horizontal="center"/>
    </xf>
    <xf numFmtId="0" fontId="76" fillId="34" borderId="40" xfId="0" applyFont="1" applyFill="1" applyBorder="1" applyAlignment="1">
      <alignment horizontal="center"/>
    </xf>
    <xf numFmtId="0" fontId="7" fillId="30" borderId="2" xfId="0" applyFont="1" applyFill="1" applyBorder="1" applyAlignment="1" applyProtection="1">
      <alignment horizontal="center" vertical="center" textRotation="90" wrapText="1"/>
      <protection hidden="1"/>
    </xf>
    <xf numFmtId="0" fontId="7" fillId="30" borderId="10" xfId="0" applyFont="1" applyFill="1" applyBorder="1" applyAlignment="1" applyProtection="1">
      <alignment horizontal="center" vertical="center" textRotation="90" wrapText="1"/>
      <protection hidden="1"/>
    </xf>
    <xf numFmtId="0" fontId="7" fillId="30" borderId="45" xfId="0" applyFont="1" applyFill="1" applyBorder="1" applyAlignment="1" applyProtection="1">
      <alignment horizontal="center" vertical="center" textRotation="90" wrapText="1"/>
      <protection hidden="1"/>
    </xf>
    <xf numFmtId="0" fontId="1" fillId="30" borderId="3" xfId="0" applyFont="1" applyFill="1" applyBorder="1" applyAlignment="1" applyProtection="1">
      <alignment horizontal="center" vertical="center"/>
      <protection hidden="1"/>
    </xf>
    <xf numFmtId="0" fontId="1" fillId="30" borderId="0" xfId="0" applyFont="1" applyFill="1" applyBorder="1" applyAlignment="1" applyProtection="1">
      <alignment horizontal="center" vertical="center"/>
      <protection hidden="1"/>
    </xf>
    <xf numFmtId="0" fontId="1" fillId="30" borderId="5" xfId="0" applyFont="1" applyFill="1" applyBorder="1" applyAlignment="1" applyProtection="1">
      <alignment horizontal="center" vertical="center"/>
      <protection hidden="1"/>
    </xf>
    <xf numFmtId="14" fontId="1" fillId="31" borderId="3" xfId="0" applyNumberFormat="1" applyFont="1" applyFill="1" applyBorder="1" applyAlignment="1" applyProtection="1">
      <alignment horizontal="center" vertical="center"/>
      <protection hidden="1"/>
    </xf>
    <xf numFmtId="14" fontId="1" fillId="31" borderId="0" xfId="0" applyNumberFormat="1" applyFont="1" applyFill="1" applyBorder="1" applyAlignment="1" applyProtection="1">
      <alignment horizontal="center" vertical="center"/>
      <protection hidden="1"/>
    </xf>
    <xf numFmtId="14" fontId="1" fillId="31" borderId="5" xfId="0" applyNumberFormat="1" applyFont="1" applyFill="1" applyBorder="1" applyAlignment="1" applyProtection="1">
      <alignment horizontal="center" vertical="center"/>
      <protection hidden="1"/>
    </xf>
    <xf numFmtId="0" fontId="48" fillId="14" borderId="6" xfId="0" applyFont="1" applyFill="1" applyBorder="1" applyAlignment="1" applyProtection="1">
      <alignment horizontal="center" vertical="center"/>
      <protection hidden="1"/>
    </xf>
    <xf numFmtId="0" fontId="48" fillId="14" borderId="7" xfId="0" applyFont="1" applyFill="1" applyBorder="1" applyAlignment="1" applyProtection="1">
      <alignment horizontal="center" vertical="center"/>
      <protection hidden="1"/>
    </xf>
    <xf numFmtId="0" fontId="48" fillId="14" borderId="8" xfId="0" applyFont="1" applyFill="1" applyBorder="1" applyAlignment="1" applyProtection="1">
      <alignment horizontal="center" vertical="center"/>
      <protection hidden="1"/>
    </xf>
    <xf numFmtId="0" fontId="20" fillId="17" borderId="6" xfId="0" applyFont="1" applyFill="1" applyBorder="1" applyAlignment="1" applyProtection="1">
      <alignment horizontal="center" vertical="center" wrapText="1"/>
      <protection hidden="1"/>
    </xf>
    <xf numFmtId="0" fontId="20" fillId="17" borderId="8" xfId="0" applyFont="1" applyFill="1" applyBorder="1" applyAlignment="1" applyProtection="1">
      <alignment horizontal="center" vertical="center" wrapText="1"/>
      <protection hidden="1"/>
    </xf>
    <xf numFmtId="0" fontId="6" fillId="0" borderId="0" xfId="0" applyFont="1" applyFill="1" applyBorder="1" applyAlignment="1" applyProtection="1">
      <alignment horizontal="center" vertical="center" wrapText="1"/>
      <protection hidden="1"/>
    </xf>
    <xf numFmtId="0" fontId="20" fillId="17" borderId="6" xfId="0" applyFont="1" applyFill="1" applyBorder="1" applyAlignment="1" applyProtection="1">
      <alignment horizontal="center" vertical="center"/>
      <protection hidden="1"/>
    </xf>
    <xf numFmtId="0" fontId="20" fillId="17" borderId="7" xfId="0" applyFont="1" applyFill="1" applyBorder="1" applyAlignment="1" applyProtection="1">
      <alignment horizontal="center" vertical="center"/>
      <protection hidden="1"/>
    </xf>
    <xf numFmtId="0" fontId="20" fillId="17" borderId="8" xfId="0" applyFont="1" applyFill="1" applyBorder="1" applyAlignment="1" applyProtection="1">
      <alignment horizontal="center" vertical="center"/>
      <protection hidden="1"/>
    </xf>
    <xf numFmtId="0" fontId="20" fillId="18" borderId="6" xfId="0" applyFont="1" applyFill="1" applyBorder="1" applyAlignment="1" applyProtection="1">
      <alignment horizontal="center" vertical="center" wrapText="1"/>
      <protection hidden="1"/>
    </xf>
    <xf numFmtId="0" fontId="20" fillId="18" borderId="7" xfId="0" applyFont="1" applyFill="1" applyBorder="1" applyAlignment="1" applyProtection="1">
      <alignment horizontal="center" vertical="center" wrapText="1"/>
      <protection hidden="1"/>
    </xf>
    <xf numFmtId="0" fontId="20" fillId="18" borderId="8" xfId="0" applyFont="1" applyFill="1" applyBorder="1" applyAlignment="1" applyProtection="1">
      <alignment horizontal="center" vertical="center" wrapText="1"/>
      <protection hidden="1"/>
    </xf>
    <xf numFmtId="0" fontId="7" fillId="5" borderId="21" xfId="0" applyFont="1" applyFill="1" applyBorder="1" applyAlignment="1" applyProtection="1">
      <alignment horizontal="center" vertical="center" wrapText="1"/>
      <protection hidden="1"/>
    </xf>
    <xf numFmtId="0" fontId="7" fillId="30" borderId="69" xfId="0" applyFont="1" applyFill="1" applyBorder="1" applyAlignment="1" applyProtection="1">
      <alignment horizontal="center" vertical="center" textRotation="90"/>
      <protection hidden="1"/>
    </xf>
    <xf numFmtId="0" fontId="7" fillId="30" borderId="68" xfId="0" applyFont="1" applyFill="1" applyBorder="1" applyAlignment="1" applyProtection="1">
      <alignment horizontal="center" vertical="center" textRotation="90"/>
      <protection hidden="1"/>
    </xf>
    <xf numFmtId="0" fontId="7" fillId="30" borderId="10" xfId="0" applyFont="1" applyFill="1" applyBorder="1" applyAlignment="1" applyProtection="1">
      <alignment horizontal="center" vertical="center" textRotation="90"/>
      <protection hidden="1"/>
    </xf>
    <xf numFmtId="0" fontId="7" fillId="30" borderId="45" xfId="0" applyFont="1" applyFill="1" applyBorder="1" applyAlignment="1" applyProtection="1">
      <alignment horizontal="center" vertical="center" textRotation="90"/>
      <protection hidden="1"/>
    </xf>
    <xf numFmtId="0" fontId="7" fillId="30" borderId="66" xfId="0" applyFont="1" applyFill="1" applyBorder="1" applyAlignment="1" applyProtection="1">
      <alignment horizontal="center" vertical="center" textRotation="90" wrapText="1"/>
      <protection hidden="1"/>
    </xf>
    <xf numFmtId="0" fontId="7" fillId="30" borderId="64" xfId="0" applyFont="1" applyFill="1" applyBorder="1" applyAlignment="1" applyProtection="1">
      <alignment horizontal="center" vertical="center" textRotation="90" wrapText="1"/>
      <protection hidden="1"/>
    </xf>
    <xf numFmtId="0" fontId="7" fillId="30" borderId="67" xfId="0" applyFont="1" applyFill="1" applyBorder="1" applyAlignment="1" applyProtection="1">
      <alignment horizontal="center" vertical="center" textRotation="90" wrapText="1"/>
      <protection hidden="1"/>
    </xf>
    <xf numFmtId="0" fontId="48" fillId="17" borderId="6" xfId="0" applyFont="1" applyFill="1" applyBorder="1" applyAlignment="1" applyProtection="1">
      <alignment horizontal="center" vertical="center"/>
      <protection hidden="1"/>
    </xf>
    <xf numFmtId="0" fontId="48" fillId="17" borderId="7" xfId="0" applyFont="1" applyFill="1" applyBorder="1" applyAlignment="1" applyProtection="1">
      <alignment horizontal="center" vertical="center"/>
      <protection hidden="1"/>
    </xf>
    <xf numFmtId="0" fontId="48" fillId="17" borderId="8" xfId="0" applyFont="1" applyFill="1" applyBorder="1" applyAlignment="1" applyProtection="1">
      <alignment horizontal="center" vertical="center"/>
      <protection hidden="1"/>
    </xf>
    <xf numFmtId="0" fontId="6" fillId="30" borderId="39" xfId="0" applyFont="1" applyFill="1" applyBorder="1" applyAlignment="1" applyProtection="1">
      <alignment horizontal="center" vertical="center"/>
      <protection hidden="1"/>
    </xf>
    <xf numFmtId="0" fontId="6" fillId="30" borderId="9" xfId="0" applyFont="1" applyFill="1" applyBorder="1" applyAlignment="1" applyProtection="1">
      <alignment horizontal="center" vertical="center"/>
      <protection hidden="1"/>
    </xf>
    <xf numFmtId="0" fontId="6" fillId="30" borderId="42" xfId="0" applyFont="1" applyFill="1" applyBorder="1" applyAlignment="1" applyProtection="1">
      <alignment horizontal="center" vertical="center"/>
      <protection hidden="1"/>
    </xf>
    <xf numFmtId="169" fontId="6" fillId="31" borderId="39" xfId="0" applyNumberFormat="1" applyFont="1" applyFill="1" applyBorder="1" applyAlignment="1" applyProtection="1">
      <alignment horizontal="center" vertical="center" wrapText="1"/>
      <protection hidden="1"/>
    </xf>
    <xf numFmtId="169" fontId="6" fillId="31" borderId="9" xfId="0" applyNumberFormat="1" applyFont="1" applyFill="1" applyBorder="1" applyAlignment="1" applyProtection="1">
      <alignment horizontal="center" vertical="center" wrapText="1"/>
      <protection hidden="1"/>
    </xf>
    <xf numFmtId="169" fontId="6" fillId="31" borderId="42" xfId="0" applyNumberFormat="1" applyFont="1" applyFill="1" applyBorder="1" applyAlignment="1" applyProtection="1">
      <alignment horizontal="center" vertical="center" wrapText="1"/>
      <protection hidden="1"/>
    </xf>
    <xf numFmtId="169" fontId="6" fillId="31" borderId="17" xfId="0" applyNumberFormat="1" applyFont="1" applyFill="1" applyBorder="1" applyAlignment="1" applyProtection="1">
      <alignment horizontal="center" vertical="center" wrapText="1"/>
      <protection hidden="1"/>
    </xf>
    <xf numFmtId="0" fontId="7" fillId="29" borderId="31" xfId="0" applyFont="1" applyFill="1" applyBorder="1" applyAlignment="1" applyProtection="1">
      <alignment horizontal="center" vertical="center"/>
      <protection hidden="1"/>
    </xf>
    <xf numFmtId="0" fontId="7" fillId="29" borderId="9" xfId="0" applyFont="1" applyFill="1" applyBorder="1" applyAlignment="1" applyProtection="1">
      <alignment horizontal="center" vertical="center"/>
      <protection hidden="1"/>
    </xf>
    <xf numFmtId="0" fontId="6" fillId="31" borderId="33" xfId="0" applyFont="1" applyFill="1" applyBorder="1" applyAlignment="1" applyProtection="1">
      <alignment horizontal="center" vertical="center" wrapText="1"/>
      <protection hidden="1"/>
    </xf>
    <xf numFmtId="0" fontId="45" fillId="31" borderId="33" xfId="0" applyFont="1" applyFill="1" applyBorder="1" applyAlignment="1" applyProtection="1">
      <alignment horizontal="center" vertical="center" wrapText="1"/>
      <protection hidden="1"/>
    </xf>
    <xf numFmtId="0" fontId="20" fillId="17" borderId="3" xfId="0" applyFont="1" applyFill="1" applyBorder="1" applyAlignment="1" applyProtection="1">
      <alignment horizontal="center" vertical="center"/>
      <protection hidden="1"/>
    </xf>
    <xf numFmtId="0" fontId="20" fillId="17" borderId="4" xfId="0" applyFont="1" applyFill="1" applyBorder="1" applyAlignment="1" applyProtection="1">
      <alignment horizontal="center" vertical="center"/>
      <protection hidden="1"/>
    </xf>
    <xf numFmtId="0" fontId="6" fillId="30" borderId="69" xfId="0" applyFont="1" applyFill="1" applyBorder="1" applyAlignment="1" applyProtection="1">
      <alignment horizontal="center" vertical="center" textRotation="90" wrapText="1"/>
      <protection hidden="1"/>
    </xf>
    <xf numFmtId="0" fontId="6" fillId="30" borderId="68" xfId="0" applyFont="1" applyFill="1" applyBorder="1" applyAlignment="1" applyProtection="1">
      <alignment horizontal="center" vertical="center" textRotation="90" wrapText="1"/>
      <protection hidden="1"/>
    </xf>
    <xf numFmtId="0" fontId="6" fillId="30" borderId="48" xfId="0" applyFont="1" applyFill="1" applyBorder="1" applyAlignment="1" applyProtection="1">
      <alignment horizontal="center" vertical="center" textRotation="90" wrapText="1"/>
      <protection hidden="1"/>
    </xf>
    <xf numFmtId="0" fontId="7" fillId="29" borderId="41" xfId="0" applyFont="1" applyFill="1" applyBorder="1" applyAlignment="1" applyProtection="1">
      <alignment horizontal="center" vertical="center"/>
      <protection hidden="1"/>
    </xf>
    <xf numFmtId="0" fontId="7" fillId="29" borderId="42" xfId="0" applyFont="1" applyFill="1" applyBorder="1" applyAlignment="1" applyProtection="1">
      <alignment horizontal="center" vertical="center"/>
      <protection hidden="1"/>
    </xf>
    <xf numFmtId="169" fontId="6" fillId="31" borderId="33" xfId="0" applyNumberFormat="1" applyFont="1" applyFill="1" applyBorder="1" applyAlignment="1" applyProtection="1">
      <alignment horizontal="center" vertical="center" wrapText="1"/>
      <protection hidden="1"/>
    </xf>
    <xf numFmtId="0" fontId="45" fillId="31" borderId="36" xfId="0" applyFont="1" applyFill="1" applyBorder="1" applyAlignment="1" applyProtection="1">
      <alignment horizontal="center" vertical="center" wrapText="1"/>
      <protection hidden="1"/>
    </xf>
    <xf numFmtId="0" fontId="6" fillId="31" borderId="40" xfId="0" applyFont="1" applyFill="1" applyBorder="1" applyAlignment="1" applyProtection="1">
      <alignment horizontal="center" vertical="center" wrapText="1"/>
      <protection hidden="1"/>
    </xf>
    <xf numFmtId="0" fontId="6" fillId="31" borderId="36" xfId="0" applyFont="1" applyFill="1" applyBorder="1" applyAlignment="1" applyProtection="1">
      <alignment horizontal="center" vertical="center" wrapText="1"/>
      <protection hidden="1"/>
    </xf>
    <xf numFmtId="0" fontId="7" fillId="29" borderId="38" xfId="0" applyFont="1" applyFill="1" applyBorder="1" applyAlignment="1" applyProtection="1">
      <alignment horizontal="center" vertical="center"/>
      <protection hidden="1"/>
    </xf>
    <xf numFmtId="0" fontId="6" fillId="29" borderId="39" xfId="0" applyFont="1" applyFill="1" applyBorder="1" applyAlignment="1" applyProtection="1">
      <alignment horizontal="center" vertical="center"/>
      <protection hidden="1"/>
    </xf>
    <xf numFmtId="0" fontId="6" fillId="29" borderId="31" xfId="0" applyFont="1" applyFill="1" applyBorder="1" applyAlignment="1" applyProtection="1">
      <alignment horizontal="center" vertical="center"/>
      <protection hidden="1"/>
    </xf>
    <xf numFmtId="0" fontId="6" fillId="29" borderId="9" xfId="0" applyFont="1" applyFill="1" applyBorder="1" applyAlignment="1" applyProtection="1">
      <alignment horizontal="center" vertical="center"/>
      <protection hidden="1"/>
    </xf>
    <xf numFmtId="3" fontId="6" fillId="30" borderId="70" xfId="0" applyNumberFormat="1" applyFont="1" applyFill="1" applyBorder="1" applyAlignment="1" applyProtection="1">
      <alignment horizontal="center" vertical="center" wrapText="1"/>
      <protection hidden="1"/>
    </xf>
    <xf numFmtId="3" fontId="6" fillId="30" borderId="49" xfId="0" applyNumberFormat="1" applyFont="1" applyFill="1" applyBorder="1" applyAlignment="1" applyProtection="1">
      <alignment horizontal="center" vertical="center" wrapText="1"/>
      <protection hidden="1"/>
    </xf>
    <xf numFmtId="3" fontId="6" fillId="30" borderId="43" xfId="0" applyNumberFormat="1" applyFont="1" applyFill="1" applyBorder="1" applyAlignment="1" applyProtection="1">
      <alignment horizontal="center" vertical="center" wrapText="1"/>
      <protection hidden="1"/>
    </xf>
    <xf numFmtId="0" fontId="48" fillId="17" borderId="3" xfId="0" applyFont="1" applyFill="1" applyBorder="1" applyAlignment="1" applyProtection="1">
      <alignment horizontal="center" vertical="center"/>
      <protection hidden="1"/>
    </xf>
    <xf numFmtId="0" fontId="48" fillId="17" borderId="4" xfId="0" applyFont="1" applyFill="1" applyBorder="1" applyAlignment="1" applyProtection="1">
      <alignment horizontal="center" vertical="center"/>
      <protection hidden="1"/>
    </xf>
    <xf numFmtId="0" fontId="6" fillId="31" borderId="58" xfId="0" applyFont="1" applyFill="1" applyBorder="1" applyAlignment="1" applyProtection="1">
      <alignment horizontal="center" vertical="center" wrapText="1"/>
      <protection hidden="1"/>
    </xf>
    <xf numFmtId="169" fontId="35" fillId="14" borderId="65" xfId="0" applyNumberFormat="1" applyFont="1" applyFill="1" applyBorder="1" applyAlignment="1">
      <alignment horizontal="center" vertical="center" wrapText="1"/>
    </xf>
    <xf numFmtId="169" fontId="35" fillId="14" borderId="15" xfId="0" applyNumberFormat="1" applyFont="1" applyFill="1" applyBorder="1" applyAlignment="1">
      <alignment horizontal="center" vertical="center" wrapText="1"/>
    </xf>
    <xf numFmtId="169" fontId="35" fillId="14" borderId="51" xfId="0" applyNumberFormat="1" applyFont="1" applyFill="1" applyBorder="1" applyAlignment="1">
      <alignment horizontal="center" vertical="center" wrapText="1"/>
    </xf>
    <xf numFmtId="0" fontId="35" fillId="14" borderId="71" xfId="0" applyFont="1" applyFill="1" applyBorder="1" applyAlignment="1">
      <alignment horizontal="center" vertical="center" wrapText="1"/>
    </xf>
    <xf numFmtId="0" fontId="35" fillId="14" borderId="63" xfId="0" applyFont="1" applyFill="1" applyBorder="1" applyAlignment="1">
      <alignment horizontal="center" vertical="center" wrapText="1"/>
    </xf>
    <xf numFmtId="0" fontId="35" fillId="14" borderId="76" xfId="0" applyFont="1" applyFill="1" applyBorder="1" applyAlignment="1">
      <alignment horizontal="center" vertical="center" wrapText="1"/>
    </xf>
    <xf numFmtId="0" fontId="7" fillId="30" borderId="10" xfId="0" applyFont="1" applyFill="1" applyBorder="1" applyAlignment="1" applyProtection="1">
      <alignment horizontal="center" vertical="center"/>
      <protection hidden="1"/>
    </xf>
    <xf numFmtId="0" fontId="7" fillId="30" borderId="47" xfId="0" applyFont="1" applyFill="1" applyBorder="1" applyAlignment="1" applyProtection="1">
      <alignment horizontal="center" vertical="center"/>
      <protection hidden="1"/>
    </xf>
    <xf numFmtId="0" fontId="7" fillId="30" borderId="2" xfId="0" applyFont="1" applyFill="1" applyBorder="1" applyAlignment="1" applyProtection="1">
      <alignment horizontal="center" vertical="center"/>
      <protection hidden="1"/>
    </xf>
    <xf numFmtId="0" fontId="7" fillId="30" borderId="4" xfId="0" applyFont="1" applyFill="1" applyBorder="1" applyAlignment="1" applyProtection="1">
      <alignment horizontal="center" vertical="center"/>
      <protection hidden="1"/>
    </xf>
    <xf numFmtId="0" fontId="7" fillId="30" borderId="45" xfId="0" applyFont="1" applyFill="1" applyBorder="1" applyAlignment="1" applyProtection="1">
      <alignment horizontal="center" vertical="center"/>
      <protection hidden="1"/>
    </xf>
    <xf numFmtId="0" fontId="7" fillId="30" borderId="37" xfId="0" applyFont="1" applyFill="1" applyBorder="1" applyAlignment="1" applyProtection="1">
      <alignment horizontal="center" vertical="center"/>
      <protection hidden="1"/>
    </xf>
    <xf numFmtId="0" fontId="7" fillId="29" borderId="2" xfId="0" applyFont="1" applyFill="1" applyBorder="1" applyAlignment="1" applyProtection="1">
      <alignment horizontal="center" vertical="center" wrapText="1"/>
      <protection hidden="1"/>
    </xf>
    <xf numFmtId="0" fontId="7" fillId="29" borderId="4" xfId="0" applyFont="1" applyFill="1" applyBorder="1" applyAlignment="1" applyProtection="1">
      <alignment horizontal="center" vertical="center" wrapText="1"/>
      <protection hidden="1"/>
    </xf>
    <xf numFmtId="0" fontId="7" fillId="29" borderId="10" xfId="0" applyFont="1" applyFill="1" applyBorder="1" applyAlignment="1" applyProtection="1">
      <alignment horizontal="center" vertical="center" wrapText="1"/>
      <protection hidden="1"/>
    </xf>
    <xf numFmtId="0" fontId="7" fillId="29" borderId="47" xfId="0" applyFont="1" applyFill="1" applyBorder="1" applyAlignment="1" applyProtection="1">
      <alignment horizontal="center" vertical="center" wrapText="1"/>
      <protection hidden="1"/>
    </xf>
    <xf numFmtId="0" fontId="7" fillId="29" borderId="45" xfId="0" applyFont="1" applyFill="1" applyBorder="1" applyAlignment="1" applyProtection="1">
      <alignment horizontal="center" vertical="center" wrapText="1"/>
      <protection hidden="1"/>
    </xf>
    <xf numFmtId="0" fontId="7" fillId="29" borderId="37" xfId="0" applyFont="1" applyFill="1" applyBorder="1" applyAlignment="1" applyProtection="1">
      <alignment horizontal="center" vertical="center" wrapText="1"/>
      <protection hidden="1"/>
    </xf>
    <xf numFmtId="0" fontId="7" fillId="29" borderId="2" xfId="0" applyFont="1" applyFill="1" applyBorder="1" applyAlignment="1" applyProtection="1">
      <alignment horizontal="center" vertical="center"/>
      <protection hidden="1"/>
    </xf>
    <xf numFmtId="0" fontId="7" fillId="29" borderId="4" xfId="0" applyFont="1" applyFill="1" applyBorder="1" applyAlignment="1" applyProtection="1">
      <alignment horizontal="center" vertical="center"/>
      <protection hidden="1"/>
    </xf>
    <xf numFmtId="0" fontId="7" fillId="29" borderId="10" xfId="0" applyFont="1" applyFill="1" applyBorder="1" applyAlignment="1" applyProtection="1">
      <alignment horizontal="center" vertical="center"/>
      <protection hidden="1"/>
    </xf>
    <xf numFmtId="0" fontId="7" fillId="29" borderId="47" xfId="0" applyFont="1" applyFill="1" applyBorder="1" applyAlignment="1" applyProtection="1">
      <alignment horizontal="center" vertical="center"/>
      <protection hidden="1"/>
    </xf>
    <xf numFmtId="0" fontId="7" fillId="29" borderId="45" xfId="0" applyFont="1" applyFill="1" applyBorder="1" applyAlignment="1" applyProtection="1">
      <alignment horizontal="center" vertical="center"/>
      <protection hidden="1"/>
    </xf>
    <xf numFmtId="0" fontId="7" fillId="29" borderId="37" xfId="0" applyFont="1" applyFill="1" applyBorder="1" applyAlignment="1" applyProtection="1">
      <alignment horizontal="center" vertical="center"/>
      <protection hidden="1"/>
    </xf>
    <xf numFmtId="14" fontId="6" fillId="31" borderId="33" xfId="0" applyNumberFormat="1" applyFont="1" applyFill="1" applyBorder="1" applyAlignment="1" applyProtection="1">
      <alignment horizontal="center" vertical="center" wrapText="1"/>
      <protection hidden="1"/>
    </xf>
    <xf numFmtId="169" fontId="23" fillId="31" borderId="33" xfId="0" applyNumberFormat="1" applyFont="1" applyFill="1" applyBorder="1" applyAlignment="1">
      <alignment horizontal="center" vertical="center" wrapText="1"/>
    </xf>
    <xf numFmtId="0" fontId="53" fillId="31" borderId="33" xfId="0" applyFont="1" applyFill="1" applyBorder="1" applyAlignment="1">
      <alignment horizontal="center" vertical="center" wrapText="1"/>
    </xf>
    <xf numFmtId="0" fontId="53" fillId="31" borderId="36" xfId="0" applyFont="1" applyFill="1" applyBorder="1" applyAlignment="1">
      <alignment horizontal="center" vertical="center" wrapText="1"/>
    </xf>
    <xf numFmtId="0" fontId="6" fillId="31" borderId="58" xfId="0" applyFont="1" applyFill="1" applyBorder="1" applyAlignment="1" applyProtection="1">
      <alignment horizontal="center" vertical="center"/>
      <protection hidden="1"/>
    </xf>
    <xf numFmtId="0" fontId="6" fillId="31" borderId="63" xfId="0" applyFont="1" applyFill="1" applyBorder="1" applyAlignment="1" applyProtection="1">
      <alignment horizontal="center" vertical="center"/>
      <protection hidden="1"/>
    </xf>
    <xf numFmtId="0" fontId="6" fillId="31" borderId="76" xfId="0" applyFont="1" applyFill="1" applyBorder="1" applyAlignment="1" applyProtection="1">
      <alignment horizontal="center" vertical="center"/>
      <protection hidden="1"/>
    </xf>
    <xf numFmtId="14" fontId="6" fillId="31" borderId="58" xfId="0" applyNumberFormat="1" applyFont="1" applyFill="1" applyBorder="1" applyAlignment="1" applyProtection="1">
      <alignment horizontal="center" vertical="center"/>
      <protection hidden="1"/>
    </xf>
    <xf numFmtId="14" fontId="6" fillId="31" borderId="63" xfId="0" applyNumberFormat="1" applyFont="1" applyFill="1" applyBorder="1" applyAlignment="1" applyProtection="1">
      <alignment horizontal="center" vertical="center"/>
      <protection hidden="1"/>
    </xf>
    <xf numFmtId="14" fontId="6" fillId="31" borderId="35" xfId="0" applyNumberFormat="1" applyFont="1" applyFill="1" applyBorder="1" applyAlignment="1" applyProtection="1">
      <alignment horizontal="center" vertical="center"/>
      <protection hidden="1"/>
    </xf>
    <xf numFmtId="0" fontId="7" fillId="29" borderId="3" xfId="0" applyFont="1" applyFill="1" applyBorder="1" applyAlignment="1" applyProtection="1">
      <alignment horizontal="center" vertical="center"/>
      <protection hidden="1"/>
    </xf>
    <xf numFmtId="0" fontId="7" fillId="29" borderId="0" xfId="0" applyFont="1" applyFill="1" applyBorder="1" applyAlignment="1" applyProtection="1">
      <alignment horizontal="center" vertical="center"/>
      <protection hidden="1"/>
    </xf>
    <xf numFmtId="0" fontId="7" fillId="29" borderId="5" xfId="0" applyFont="1" applyFill="1" applyBorder="1" applyAlignment="1" applyProtection="1">
      <alignment horizontal="center" vertical="center"/>
      <protection hidden="1"/>
    </xf>
    <xf numFmtId="169" fontId="23" fillId="14" borderId="40" xfId="0" applyNumberFormat="1" applyFont="1" applyFill="1" applyBorder="1" applyAlignment="1">
      <alignment horizontal="center" vertical="center" wrapText="1"/>
    </xf>
    <xf numFmtId="0" fontId="53" fillId="14" borderId="33" xfId="0" applyFont="1" applyFill="1" applyBorder="1" applyAlignment="1">
      <alignment horizontal="center" vertical="center" wrapText="1"/>
    </xf>
    <xf numFmtId="169" fontId="23" fillId="14" borderId="33" xfId="0" applyNumberFormat="1" applyFont="1" applyFill="1" applyBorder="1" applyAlignment="1">
      <alignment horizontal="center" vertical="center" wrapText="1"/>
    </xf>
    <xf numFmtId="0" fontId="6" fillId="30" borderId="2" xfId="0" applyFont="1" applyFill="1" applyBorder="1" applyAlignment="1" applyProtection="1">
      <alignment horizontal="center" vertical="center" textRotation="90" wrapText="1"/>
      <protection hidden="1"/>
    </xf>
    <xf numFmtId="0" fontId="6" fillId="30" borderId="10" xfId="0" applyFont="1" applyFill="1" applyBorder="1" applyAlignment="1" applyProtection="1">
      <alignment horizontal="center" vertical="center" textRotation="90" wrapText="1"/>
      <protection hidden="1"/>
    </xf>
    <xf numFmtId="0" fontId="6" fillId="0" borderId="0" xfId="0" applyFont="1" applyFill="1" applyBorder="1" applyAlignment="1" applyProtection="1">
      <alignment horizontal="center" vertical="center"/>
      <protection hidden="1"/>
    </xf>
    <xf numFmtId="14" fontId="6" fillId="31" borderId="39" xfId="0" applyNumberFormat="1" applyFont="1" applyFill="1" applyBorder="1" applyAlignment="1" applyProtection="1">
      <alignment horizontal="center" vertical="center"/>
      <protection hidden="1"/>
    </xf>
    <xf numFmtId="14" fontId="6" fillId="31" borderId="9" xfId="0" applyNumberFormat="1" applyFont="1" applyFill="1" applyBorder="1" applyAlignment="1" applyProtection="1">
      <alignment horizontal="center" vertical="center"/>
      <protection hidden="1"/>
    </xf>
    <xf numFmtId="14" fontId="6" fillId="31" borderId="42" xfId="0" applyNumberFormat="1" applyFont="1" applyFill="1" applyBorder="1" applyAlignment="1" applyProtection="1">
      <alignment horizontal="center" vertical="center"/>
      <protection hidden="1"/>
    </xf>
    <xf numFmtId="169" fontId="6" fillId="31" borderId="12" xfId="0" applyNumberFormat="1" applyFont="1" applyFill="1" applyBorder="1" applyAlignment="1" applyProtection="1">
      <alignment horizontal="center" vertical="center" wrapText="1"/>
      <protection hidden="1"/>
    </xf>
    <xf numFmtId="0" fontId="7" fillId="26" borderId="40" xfId="0" applyFont="1" applyFill="1" applyBorder="1" applyAlignment="1" applyProtection="1">
      <alignment horizontal="center" vertical="center" wrapText="1"/>
      <protection hidden="1"/>
    </xf>
    <xf numFmtId="0" fontId="7" fillId="26" borderId="58" xfId="0" applyFont="1" applyFill="1" applyBorder="1" applyAlignment="1" applyProtection="1">
      <alignment horizontal="center" vertical="center" wrapText="1"/>
      <protection hidden="1"/>
    </xf>
    <xf numFmtId="0" fontId="6" fillId="30" borderId="47" xfId="0" applyFont="1" applyFill="1" applyBorder="1" applyAlignment="1" applyProtection="1">
      <alignment horizontal="center" vertical="center"/>
      <protection hidden="1"/>
    </xf>
    <xf numFmtId="0" fontId="6" fillId="30" borderId="10" xfId="0" applyFont="1" applyFill="1" applyBorder="1" applyAlignment="1" applyProtection="1">
      <alignment horizontal="center" vertical="center"/>
      <protection hidden="1"/>
    </xf>
    <xf numFmtId="0" fontId="6" fillId="30" borderId="45" xfId="0" applyFont="1" applyFill="1" applyBorder="1" applyAlignment="1" applyProtection="1">
      <alignment horizontal="center" vertical="center"/>
      <protection hidden="1"/>
    </xf>
    <xf numFmtId="0" fontId="6" fillId="30" borderId="37" xfId="0" applyFont="1" applyFill="1" applyBorder="1" applyAlignment="1" applyProtection="1">
      <alignment horizontal="center" vertical="center"/>
      <protection hidden="1"/>
    </xf>
    <xf numFmtId="0" fontId="7" fillId="30" borderId="38" xfId="0" applyFont="1" applyFill="1" applyBorder="1" applyAlignment="1" applyProtection="1">
      <alignment horizontal="center" vertical="center" textRotation="90" wrapText="1"/>
      <protection hidden="1"/>
    </xf>
    <xf numFmtId="0" fontId="7" fillId="30" borderId="31" xfId="0" applyFont="1" applyFill="1" applyBorder="1" applyAlignment="1" applyProtection="1">
      <alignment horizontal="center" vertical="center" textRotation="90" wrapText="1"/>
      <protection hidden="1"/>
    </xf>
    <xf numFmtId="0" fontId="7" fillId="30" borderId="41" xfId="0" applyFont="1" applyFill="1" applyBorder="1" applyAlignment="1" applyProtection="1">
      <alignment horizontal="center" vertical="center" textRotation="90" wrapText="1"/>
      <protection hidden="1"/>
    </xf>
    <xf numFmtId="0" fontId="6" fillId="26" borderId="69" xfId="0" applyFont="1" applyFill="1" applyBorder="1" applyAlignment="1" applyProtection="1">
      <alignment horizontal="center" vertical="center"/>
      <protection hidden="1"/>
    </xf>
    <xf numFmtId="0" fontId="6" fillId="26" borderId="68" xfId="0" applyFont="1" applyFill="1" applyBorder="1" applyAlignment="1" applyProtection="1">
      <alignment horizontal="center" vertical="center"/>
      <protection hidden="1"/>
    </xf>
    <xf numFmtId="0" fontId="7" fillId="26" borderId="2" xfId="0" applyFont="1" applyFill="1" applyBorder="1" applyAlignment="1" applyProtection="1">
      <alignment horizontal="center" vertical="center" wrapText="1"/>
      <protection hidden="1"/>
    </xf>
    <xf numFmtId="0" fontId="7" fillId="26" borderId="3" xfId="0" applyFont="1" applyFill="1" applyBorder="1" applyAlignment="1" applyProtection="1">
      <alignment horizontal="center" vertical="center" wrapText="1"/>
      <protection hidden="1"/>
    </xf>
    <xf numFmtId="0" fontId="7" fillId="26" borderId="4" xfId="0" applyFont="1" applyFill="1" applyBorder="1" applyAlignment="1" applyProtection="1">
      <alignment horizontal="center" vertical="center" wrapText="1"/>
      <protection hidden="1"/>
    </xf>
    <xf numFmtId="0" fontId="7" fillId="26" borderId="10" xfId="0" applyFont="1" applyFill="1" applyBorder="1" applyAlignment="1" applyProtection="1">
      <alignment horizontal="center" vertical="center" wrapText="1"/>
      <protection hidden="1"/>
    </xf>
    <xf numFmtId="0" fontId="7" fillId="26" borderId="0" xfId="0" applyFont="1" applyFill="1" applyBorder="1" applyAlignment="1" applyProtection="1">
      <alignment horizontal="center" vertical="center" wrapText="1"/>
      <protection hidden="1"/>
    </xf>
    <xf numFmtId="0" fontId="7" fillId="26" borderId="47" xfId="0" applyFont="1" applyFill="1" applyBorder="1" applyAlignment="1" applyProtection="1">
      <alignment horizontal="center" vertical="center" wrapText="1"/>
      <protection hidden="1"/>
    </xf>
    <xf numFmtId="0" fontId="7" fillId="26" borderId="46" xfId="0" applyFont="1" applyFill="1" applyBorder="1" applyAlignment="1" applyProtection="1">
      <alignment horizontal="center" vertical="center" wrapText="1"/>
      <protection hidden="1"/>
    </xf>
    <xf numFmtId="0" fontId="7" fillId="26" borderId="25" xfId="0" applyFont="1" applyFill="1" applyBorder="1" applyAlignment="1" applyProtection="1">
      <alignment horizontal="center" vertical="center" wrapText="1"/>
      <protection hidden="1"/>
    </xf>
    <xf numFmtId="0" fontId="20" fillId="17" borderId="2" xfId="0" applyFont="1" applyFill="1" applyBorder="1" applyAlignment="1" applyProtection="1">
      <alignment horizontal="center" vertical="center"/>
      <protection hidden="1"/>
    </xf>
    <xf numFmtId="0" fontId="20" fillId="17" borderId="45" xfId="0" applyFont="1" applyFill="1" applyBorder="1" applyAlignment="1" applyProtection="1">
      <alignment horizontal="center" vertical="center"/>
      <protection hidden="1"/>
    </xf>
    <xf numFmtId="0" fontId="20" fillId="17" borderId="5" xfId="0" applyFont="1" applyFill="1" applyBorder="1" applyAlignment="1" applyProtection="1">
      <alignment horizontal="center" vertical="center"/>
      <protection hidden="1"/>
    </xf>
    <xf numFmtId="0" fontId="20" fillId="17" borderId="37" xfId="0" applyFont="1" applyFill="1" applyBorder="1" applyAlignment="1" applyProtection="1">
      <alignment horizontal="center" vertical="center"/>
      <protection hidden="1"/>
    </xf>
    <xf numFmtId="0" fontId="6" fillId="31" borderId="35" xfId="0" applyFont="1" applyFill="1" applyBorder="1" applyAlignment="1" applyProtection="1">
      <alignment horizontal="center" vertical="center" wrapText="1"/>
      <protection hidden="1"/>
    </xf>
    <xf numFmtId="0" fontId="1" fillId="30" borderId="39" xfId="0" applyFont="1" applyFill="1" applyBorder="1" applyAlignment="1" applyProtection="1">
      <alignment horizontal="center" vertical="center"/>
      <protection hidden="1"/>
    </xf>
    <xf numFmtId="0" fontId="1" fillId="30" borderId="42" xfId="0" applyFont="1" applyFill="1" applyBorder="1" applyAlignment="1" applyProtection="1">
      <alignment horizontal="center" vertical="center"/>
      <protection hidden="1"/>
    </xf>
    <xf numFmtId="14" fontId="1" fillId="31" borderId="39" xfId="0" applyNumberFormat="1" applyFont="1" applyFill="1" applyBorder="1" applyAlignment="1" applyProtection="1">
      <alignment horizontal="center" vertical="center"/>
      <protection hidden="1"/>
    </xf>
    <xf numFmtId="14" fontId="1" fillId="31" borderId="42" xfId="0" applyNumberFormat="1" applyFont="1" applyFill="1" applyBorder="1" applyAlignment="1" applyProtection="1">
      <alignment horizontal="center" vertical="center"/>
      <protection hidden="1"/>
    </xf>
    <xf numFmtId="0" fontId="9" fillId="0" borderId="6" xfId="0" applyFont="1" applyBorder="1" applyAlignment="1" applyProtection="1">
      <alignment horizontal="center" vertical="center"/>
      <protection hidden="1"/>
    </xf>
    <xf numFmtId="0" fontId="9" fillId="0" borderId="7" xfId="0" applyFont="1" applyBorder="1" applyAlignment="1" applyProtection="1">
      <alignment horizontal="center" vertical="center"/>
      <protection hidden="1"/>
    </xf>
    <xf numFmtId="0" fontId="9" fillId="0" borderId="8" xfId="0" applyFont="1" applyBorder="1" applyAlignment="1" applyProtection="1">
      <alignment horizontal="center" vertical="center"/>
      <protection hidden="1"/>
    </xf>
    <xf numFmtId="164" fontId="6" fillId="0" borderId="0" xfId="0" applyNumberFormat="1" applyFont="1" applyFill="1" applyBorder="1" applyAlignment="1" applyProtection="1">
      <alignment horizontal="center" vertical="center"/>
      <protection hidden="1"/>
    </xf>
    <xf numFmtId="0" fontId="7" fillId="18" borderId="6" xfId="0" applyFont="1" applyFill="1" applyBorder="1" applyAlignment="1" applyProtection="1">
      <alignment horizontal="center" vertical="center"/>
      <protection hidden="1"/>
    </xf>
    <xf numFmtId="0" fontId="7" fillId="18" borderId="7" xfId="0" applyFont="1" applyFill="1" applyBorder="1" applyAlignment="1" applyProtection="1">
      <alignment horizontal="center" vertical="center"/>
      <protection hidden="1"/>
    </xf>
    <xf numFmtId="0" fontId="7" fillId="18" borderId="8" xfId="0" applyFont="1" applyFill="1" applyBorder="1" applyAlignment="1" applyProtection="1">
      <alignment horizontal="center" vertical="center"/>
      <protection hidden="1"/>
    </xf>
    <xf numFmtId="0" fontId="6" fillId="0" borderId="30" xfId="0" applyFont="1" applyFill="1" applyBorder="1" applyAlignment="1" applyProtection="1">
      <alignment horizontal="center" vertical="center"/>
      <protection hidden="1"/>
    </xf>
    <xf numFmtId="0" fontId="6" fillId="0" borderId="57" xfId="0" applyFont="1" applyFill="1" applyBorder="1" applyAlignment="1" applyProtection="1">
      <alignment horizontal="center" vertical="center"/>
      <protection hidden="1"/>
    </xf>
    <xf numFmtId="0" fontId="6" fillId="0" borderId="52" xfId="0" applyFont="1" applyFill="1" applyBorder="1" applyAlignment="1" applyProtection="1">
      <alignment horizontal="center" vertical="center"/>
      <protection hidden="1"/>
    </xf>
    <xf numFmtId="0" fontId="7" fillId="17" borderId="6" xfId="0" applyFont="1" applyFill="1" applyBorder="1" applyAlignment="1" applyProtection="1">
      <alignment horizontal="center" vertical="center"/>
      <protection hidden="1"/>
    </xf>
    <xf numFmtId="0" fontId="7" fillId="17" borderId="7" xfId="0" applyFont="1" applyFill="1" applyBorder="1" applyAlignment="1" applyProtection="1">
      <alignment horizontal="center" vertical="center"/>
      <protection hidden="1"/>
    </xf>
    <xf numFmtId="0" fontId="7" fillId="17" borderId="8" xfId="0" applyFont="1" applyFill="1" applyBorder="1" applyAlignment="1" applyProtection="1">
      <alignment horizontal="center" vertical="center"/>
      <protection hidden="1"/>
    </xf>
    <xf numFmtId="0" fontId="6" fillId="0" borderId="30" xfId="0" applyFont="1" applyFill="1" applyBorder="1" applyAlignment="1" applyProtection="1">
      <alignment horizontal="center"/>
      <protection hidden="1"/>
    </xf>
    <xf numFmtId="0" fontId="6" fillId="0" borderId="46" xfId="0" applyFont="1" applyFill="1" applyBorder="1" applyAlignment="1" applyProtection="1">
      <alignment horizontal="center"/>
      <protection hidden="1"/>
    </xf>
    <xf numFmtId="0" fontId="20" fillId="17" borderId="7" xfId="0" applyFont="1" applyFill="1" applyBorder="1" applyAlignment="1" applyProtection="1">
      <alignment horizontal="center" vertical="center" wrapText="1"/>
      <protection hidden="1"/>
    </xf>
    <xf numFmtId="0" fontId="20" fillId="17" borderId="2" xfId="0" applyFont="1" applyFill="1" applyBorder="1" applyAlignment="1" applyProtection="1">
      <alignment horizontal="center" vertical="center" wrapText="1"/>
      <protection hidden="1"/>
    </xf>
    <xf numFmtId="0" fontId="20" fillId="17" borderId="3" xfId="0" applyFont="1" applyFill="1" applyBorder="1" applyAlignment="1" applyProtection="1">
      <alignment horizontal="center" vertical="center" wrapText="1"/>
      <protection hidden="1"/>
    </xf>
    <xf numFmtId="0" fontId="20" fillId="17" borderId="4" xfId="0" applyFont="1" applyFill="1" applyBorder="1" applyAlignment="1" applyProtection="1">
      <alignment horizontal="center" vertical="center" wrapText="1"/>
      <protection hidden="1"/>
    </xf>
    <xf numFmtId="0" fontId="20" fillId="17" borderId="45" xfId="0" applyFont="1" applyFill="1" applyBorder="1" applyAlignment="1" applyProtection="1">
      <alignment horizontal="center" vertical="center" wrapText="1"/>
      <protection hidden="1"/>
    </xf>
    <xf numFmtId="0" fontId="20" fillId="17" borderId="5" xfId="0" applyFont="1" applyFill="1" applyBorder="1" applyAlignment="1" applyProtection="1">
      <alignment horizontal="center" vertical="center" wrapText="1"/>
      <protection hidden="1"/>
    </xf>
    <xf numFmtId="0" fontId="20" fillId="17" borderId="37" xfId="0" applyFont="1" applyFill="1" applyBorder="1" applyAlignment="1" applyProtection="1">
      <alignment horizontal="center" vertical="center" wrapText="1"/>
      <protection hidden="1"/>
    </xf>
    <xf numFmtId="0" fontId="14" fillId="17" borderId="2" xfId="0" applyFont="1" applyFill="1" applyBorder="1" applyAlignment="1" applyProtection="1">
      <alignment horizontal="center" vertical="center"/>
      <protection hidden="1"/>
    </xf>
    <xf numFmtId="0" fontId="14" fillId="17" borderId="3" xfId="0" applyFont="1" applyFill="1" applyBorder="1" applyAlignment="1" applyProtection="1">
      <alignment horizontal="center" vertical="center"/>
      <protection hidden="1"/>
    </xf>
    <xf numFmtId="0" fontId="14" fillId="17" borderId="4" xfId="0" applyFont="1" applyFill="1" applyBorder="1" applyAlignment="1" applyProtection="1">
      <alignment horizontal="center" vertical="center"/>
      <protection hidden="1"/>
    </xf>
    <xf numFmtId="0" fontId="14" fillId="17" borderId="10" xfId="0" applyFont="1" applyFill="1" applyBorder="1" applyAlignment="1" applyProtection="1">
      <alignment horizontal="center" vertical="center"/>
      <protection hidden="1"/>
    </xf>
    <xf numFmtId="0" fontId="14" fillId="17" borderId="0" xfId="0" applyFont="1" applyFill="1" applyBorder="1" applyAlignment="1" applyProtection="1">
      <alignment horizontal="center" vertical="center"/>
      <protection hidden="1"/>
    </xf>
    <xf numFmtId="0" fontId="14" fillId="17" borderId="47" xfId="0" applyFont="1" applyFill="1" applyBorder="1" applyAlignment="1" applyProtection="1">
      <alignment horizontal="center" vertical="center"/>
      <protection hidden="1"/>
    </xf>
    <xf numFmtId="0" fontId="6" fillId="0" borderId="6" xfId="0" applyFont="1" applyBorder="1" applyAlignment="1" applyProtection="1">
      <alignment horizontal="center"/>
      <protection hidden="1"/>
    </xf>
    <xf numFmtId="0" fontId="6" fillId="0" borderId="7" xfId="0" applyFont="1" applyBorder="1" applyAlignment="1" applyProtection="1">
      <alignment horizontal="center"/>
      <protection hidden="1"/>
    </xf>
    <xf numFmtId="0" fontId="6" fillId="0" borderId="8" xfId="0" applyFont="1" applyBorder="1" applyAlignment="1" applyProtection="1">
      <alignment horizontal="center"/>
      <protection hidden="1"/>
    </xf>
    <xf numFmtId="0" fontId="76" fillId="7" borderId="2" xfId="0" applyFont="1" applyFill="1" applyBorder="1" applyAlignment="1" applyProtection="1">
      <alignment horizontal="center" vertical="center" wrapText="1"/>
      <protection hidden="1"/>
    </xf>
    <xf numFmtId="0" fontId="76" fillId="7" borderId="45" xfId="0" applyFont="1" applyFill="1" applyBorder="1" applyAlignment="1" applyProtection="1">
      <alignment horizontal="center" vertical="center" wrapText="1"/>
      <protection hidden="1"/>
    </xf>
    <xf numFmtId="0" fontId="76" fillId="16" borderId="77" xfId="0" applyFont="1" applyFill="1" applyBorder="1" applyAlignment="1" applyProtection="1">
      <alignment horizontal="center" vertical="center" wrapText="1"/>
      <protection hidden="1"/>
    </xf>
    <xf numFmtId="0" fontId="76" fillId="16" borderId="68" xfId="0" applyFont="1" applyFill="1" applyBorder="1" applyAlignment="1" applyProtection="1">
      <alignment horizontal="center" vertical="center" wrapText="1"/>
      <protection hidden="1"/>
    </xf>
    <xf numFmtId="0" fontId="76" fillId="16" borderId="72" xfId="0" applyFont="1" applyFill="1" applyBorder="1" applyAlignment="1" applyProtection="1">
      <alignment horizontal="center" vertical="center" wrapText="1"/>
      <protection hidden="1"/>
    </xf>
    <xf numFmtId="0" fontId="76" fillId="5" borderId="18" xfId="0" applyFont="1" applyFill="1" applyBorder="1" applyAlignment="1" applyProtection="1">
      <alignment horizontal="center" vertical="center" wrapText="1"/>
      <protection hidden="1"/>
    </xf>
    <xf numFmtId="0" fontId="76" fillId="5" borderId="19" xfId="0" applyFont="1" applyFill="1" applyBorder="1" applyAlignment="1" applyProtection="1">
      <alignment horizontal="center" vertical="center" wrapText="1"/>
      <protection hidden="1"/>
    </xf>
    <xf numFmtId="0" fontId="76" fillId="25" borderId="38" xfId="0" applyFont="1" applyFill="1" applyBorder="1" applyAlignment="1" applyProtection="1">
      <alignment horizontal="center" vertical="center" wrapText="1"/>
      <protection hidden="1"/>
    </xf>
    <xf numFmtId="0" fontId="76" fillId="25" borderId="39" xfId="0" applyFont="1" applyFill="1" applyBorder="1" applyAlignment="1" applyProtection="1">
      <alignment horizontal="center" vertical="center" wrapText="1"/>
      <protection hidden="1"/>
    </xf>
    <xf numFmtId="0" fontId="76" fillId="25" borderId="40" xfId="0" applyFont="1" applyFill="1" applyBorder="1" applyAlignment="1" applyProtection="1">
      <alignment horizontal="center" vertical="center" wrapText="1"/>
      <protection hidden="1"/>
    </xf>
    <xf numFmtId="0" fontId="77" fillId="0" borderId="12" xfId="0" applyFont="1" applyBorder="1" applyAlignment="1" applyProtection="1">
      <alignment horizontal="center" vertical="center" wrapText="1"/>
      <protection hidden="1"/>
    </xf>
    <xf numFmtId="0" fontId="77" fillId="0" borderId="17" xfId="0" applyFont="1" applyBorder="1" applyAlignment="1" applyProtection="1">
      <alignment horizontal="center" vertical="center" wrapText="1"/>
      <protection hidden="1"/>
    </xf>
    <xf numFmtId="0" fontId="77" fillId="2" borderId="9" xfId="0" applyFont="1" applyFill="1" applyBorder="1" applyAlignment="1" applyProtection="1">
      <alignment horizontal="center" vertical="center" wrapText="1"/>
      <protection hidden="1"/>
    </xf>
    <xf numFmtId="0" fontId="76" fillId="5" borderId="27" xfId="0" applyFont="1" applyFill="1" applyBorder="1" applyAlignment="1" applyProtection="1">
      <alignment horizontal="center" vertical="center" wrapText="1"/>
      <protection hidden="1"/>
    </xf>
    <xf numFmtId="0" fontId="77" fillId="4" borderId="66" xfId="0" applyFont="1" applyFill="1" applyBorder="1" applyAlignment="1" applyProtection="1">
      <alignment horizontal="center" vertical="center" wrapText="1"/>
      <protection hidden="1"/>
    </xf>
    <xf numFmtId="0" fontId="77" fillId="4" borderId="67" xfId="0" applyFont="1" applyFill="1" applyBorder="1" applyAlignment="1" applyProtection="1">
      <alignment horizontal="center" vertical="center" wrapText="1"/>
      <protection hidden="1"/>
    </xf>
    <xf numFmtId="0" fontId="81" fillId="33" borderId="2" xfId="0" applyFont="1" applyFill="1" applyBorder="1" applyAlignment="1">
      <alignment horizontal="center" vertical="center" wrapText="1"/>
    </xf>
    <xf numFmtId="0" fontId="81" fillId="33" borderId="4" xfId="0" applyFont="1" applyFill="1" applyBorder="1" applyAlignment="1">
      <alignment horizontal="center" vertical="center" wrapText="1"/>
    </xf>
    <xf numFmtId="0" fontId="81" fillId="33" borderId="3" xfId="0" applyFont="1" applyFill="1" applyBorder="1" applyAlignment="1">
      <alignment horizontal="center" vertical="center" wrapText="1"/>
    </xf>
    <xf numFmtId="0" fontId="76" fillId="0" borderId="48" xfId="0" applyFont="1" applyBorder="1" applyAlignment="1">
      <alignment horizontal="right" vertical="center" wrapText="1"/>
    </xf>
    <xf numFmtId="0" fontId="76" fillId="0" borderId="1" xfId="0" applyFont="1" applyBorder="1" applyAlignment="1">
      <alignment horizontal="right" vertical="center" wrapText="1"/>
    </xf>
    <xf numFmtId="0" fontId="76" fillId="25" borderId="7" xfId="0" applyFont="1" applyFill="1" applyBorder="1" applyAlignment="1" applyProtection="1">
      <alignment horizontal="center" vertical="center" wrapText="1"/>
      <protection hidden="1"/>
    </xf>
    <xf numFmtId="0" fontId="76" fillId="25" borderId="8" xfId="0" applyFont="1" applyFill="1" applyBorder="1" applyAlignment="1" applyProtection="1">
      <alignment horizontal="center" vertical="center" wrapText="1"/>
      <protection hidden="1"/>
    </xf>
    <xf numFmtId="0" fontId="76" fillId="0" borderId="6" xfId="0" applyFont="1" applyBorder="1" applyAlignment="1">
      <alignment horizontal="right" vertical="center" wrapText="1"/>
    </xf>
    <xf numFmtId="0" fontId="76" fillId="0" borderId="8" xfId="0" applyFont="1" applyBorder="1" applyAlignment="1">
      <alignment horizontal="right" vertical="center" wrapText="1"/>
    </xf>
    <xf numFmtId="0" fontId="77" fillId="0" borderId="0" xfId="0" applyFont="1" applyFill="1" applyBorder="1" applyAlignment="1" applyProtection="1">
      <alignment horizontal="left" vertical="center" wrapText="1"/>
      <protection hidden="1"/>
    </xf>
    <xf numFmtId="0" fontId="91" fillId="0" borderId="6" xfId="0" applyFont="1" applyBorder="1" applyAlignment="1">
      <alignment horizontal="center" vertical="center" wrapText="1"/>
    </xf>
    <xf numFmtId="0" fontId="91" fillId="0" borderId="8" xfId="0" applyFont="1" applyBorder="1" applyAlignment="1">
      <alignment horizontal="center" vertical="center" wrapText="1"/>
    </xf>
    <xf numFmtId="0" fontId="84" fillId="34" borderId="10" xfId="0" applyFont="1" applyFill="1" applyBorder="1" applyAlignment="1">
      <alignment horizontal="center" vertical="center"/>
    </xf>
    <xf numFmtId="0" fontId="84" fillId="34" borderId="0" xfId="0" applyFont="1" applyFill="1" applyBorder="1" applyAlignment="1">
      <alignment horizontal="center" vertical="center"/>
    </xf>
    <xf numFmtId="0" fontId="84" fillId="34" borderId="45" xfId="0" applyFont="1" applyFill="1" applyBorder="1" applyAlignment="1">
      <alignment horizontal="center" vertical="center"/>
    </xf>
    <xf numFmtId="0" fontId="84" fillId="34" borderId="5" xfId="0" applyFont="1" applyFill="1" applyBorder="1" applyAlignment="1">
      <alignment horizontal="center" vertical="center"/>
    </xf>
    <xf numFmtId="0" fontId="8" fillId="15" borderId="12" xfId="0" applyFont="1" applyFill="1" applyBorder="1" applyAlignment="1" applyProtection="1">
      <alignment horizontal="center" vertical="center" wrapText="1"/>
      <protection hidden="1"/>
    </xf>
    <xf numFmtId="0" fontId="8" fillId="15" borderId="17" xfId="0" applyFont="1" applyFill="1" applyBorder="1" applyAlignment="1" applyProtection="1">
      <alignment horizontal="center" vertical="center" wrapText="1"/>
      <protection hidden="1"/>
    </xf>
    <xf numFmtId="1" fontId="8" fillId="12" borderId="12" xfId="0" applyNumberFormat="1" applyFont="1" applyFill="1" applyBorder="1" applyAlignment="1" applyProtection="1">
      <alignment horizontal="center" vertical="center" wrapText="1"/>
      <protection hidden="1"/>
    </xf>
    <xf numFmtId="1" fontId="8" fillId="12" borderId="17" xfId="0" applyNumberFormat="1" applyFont="1" applyFill="1" applyBorder="1" applyAlignment="1" applyProtection="1">
      <alignment horizontal="center" vertical="center" wrapText="1"/>
      <protection hidden="1"/>
    </xf>
    <xf numFmtId="0" fontId="7" fillId="0" borderId="0" xfId="0" applyFont="1" applyAlignment="1" applyProtection="1">
      <alignment horizontal="center" vertical="center" wrapText="1"/>
      <protection hidden="1"/>
    </xf>
    <xf numFmtId="0" fontId="16" fillId="0" borderId="0" xfId="0" applyFont="1" applyBorder="1" applyAlignment="1" applyProtection="1">
      <alignment horizontal="left" vertical="center" wrapText="1"/>
      <protection hidden="1"/>
    </xf>
    <xf numFmtId="0" fontId="76" fillId="0" borderId="0" xfId="0" applyFont="1" applyFill="1" applyBorder="1" applyAlignment="1" applyProtection="1">
      <alignment horizontal="center" vertical="center" wrapText="1"/>
      <protection hidden="1"/>
    </xf>
    <xf numFmtId="0" fontId="77" fillId="0" borderId="0" xfId="0" applyFont="1" applyFill="1" applyBorder="1" applyAlignment="1" applyProtection="1">
      <alignment horizontal="center" vertical="center" wrapText="1"/>
      <protection locked="0" hidden="1"/>
    </xf>
    <xf numFmtId="0" fontId="7" fillId="16" borderId="56" xfId="0" applyFont="1" applyFill="1" applyBorder="1" applyAlignment="1" applyProtection="1">
      <alignment horizontal="left" vertical="center" wrapText="1"/>
      <protection hidden="1"/>
    </xf>
    <xf numFmtId="0" fontId="7" fillId="16" borderId="57" xfId="0" applyFont="1" applyFill="1" applyBorder="1" applyAlignment="1" applyProtection="1">
      <alignment horizontal="left" vertical="center" wrapText="1"/>
      <protection hidden="1"/>
    </xf>
    <xf numFmtId="0" fontId="12" fillId="24" borderId="4" xfId="6" applyFont="1" applyBorder="1" applyAlignment="1" applyProtection="1">
      <alignment horizontal="center" vertical="center" wrapText="1"/>
      <protection locked="0" hidden="1"/>
    </xf>
    <xf numFmtId="0" fontId="12" fillId="24" borderId="37" xfId="6" applyFont="1" applyBorder="1" applyAlignment="1" applyProtection="1">
      <alignment horizontal="center" vertical="center" wrapText="1"/>
      <protection locked="0" hidden="1"/>
    </xf>
    <xf numFmtId="0" fontId="7" fillId="16" borderId="6" xfId="0" applyFont="1" applyFill="1" applyBorder="1" applyAlignment="1" applyProtection="1">
      <alignment horizontal="center" vertical="center" wrapText="1"/>
      <protection hidden="1"/>
    </xf>
    <xf numFmtId="0" fontId="7" fillId="16" borderId="20" xfId="0" applyFont="1" applyFill="1" applyBorder="1" applyAlignment="1" applyProtection="1">
      <alignment horizontal="center" vertical="center" wrapText="1"/>
      <protection hidden="1"/>
    </xf>
    <xf numFmtId="0" fontId="8" fillId="6" borderId="27" xfId="0" applyNumberFormat="1" applyFont="1" applyFill="1" applyBorder="1" applyAlignment="1" applyProtection="1">
      <alignment horizontal="center" vertical="center" wrapText="1"/>
      <protection hidden="1"/>
    </xf>
    <xf numFmtId="0" fontId="8" fillId="6" borderId="7" xfId="0" applyNumberFormat="1" applyFont="1" applyFill="1" applyBorder="1" applyAlignment="1" applyProtection="1">
      <alignment horizontal="center" vertical="center" wrapText="1"/>
      <protection hidden="1"/>
    </xf>
    <xf numFmtId="0" fontId="8" fillId="6" borderId="8" xfId="0" applyNumberFormat="1" applyFont="1" applyFill="1" applyBorder="1" applyAlignment="1" applyProtection="1">
      <alignment horizontal="center" vertical="center" wrapText="1"/>
      <protection hidden="1"/>
    </xf>
    <xf numFmtId="0" fontId="77" fillId="0" borderId="0" xfId="0" applyFont="1" applyFill="1" applyBorder="1" applyAlignment="1" applyProtection="1">
      <alignment horizontal="center" vertical="center" wrapText="1"/>
      <protection hidden="1"/>
    </xf>
    <xf numFmtId="2" fontId="6" fillId="12" borderId="9" xfId="0" applyNumberFormat="1" applyFont="1" applyFill="1" applyBorder="1" applyAlignment="1" applyProtection="1">
      <alignment horizontal="center" vertical="center" wrapText="1"/>
      <protection hidden="1"/>
    </xf>
    <xf numFmtId="14" fontId="8" fillId="12" borderId="12" xfId="0" applyNumberFormat="1" applyFont="1" applyFill="1" applyBorder="1" applyAlignment="1" applyProtection="1">
      <alignment horizontal="center" vertical="center" wrapText="1"/>
      <protection hidden="1"/>
    </xf>
    <xf numFmtId="14" fontId="8" fillId="12" borderId="17" xfId="0" applyNumberFormat="1" applyFont="1" applyFill="1" applyBorder="1" applyAlignment="1" applyProtection="1">
      <alignment horizontal="center" vertical="center" wrapText="1"/>
      <protection hidden="1"/>
    </xf>
    <xf numFmtId="1" fontId="8" fillId="15" borderId="12" xfId="0" applyNumberFormat="1" applyFont="1" applyFill="1" applyBorder="1" applyAlignment="1" applyProtection="1">
      <alignment horizontal="center" vertical="center" wrapText="1"/>
      <protection hidden="1"/>
    </xf>
    <xf numFmtId="1" fontId="8" fillId="15" borderId="17" xfId="0" applyNumberFormat="1" applyFont="1" applyFill="1" applyBorder="1" applyAlignment="1" applyProtection="1">
      <alignment horizontal="center" vertical="center" wrapText="1"/>
      <protection hidden="1"/>
    </xf>
    <xf numFmtId="1" fontId="8" fillId="15" borderId="25" xfId="0" applyNumberFormat="1" applyFont="1" applyFill="1" applyBorder="1" applyAlignment="1" applyProtection="1">
      <alignment horizontal="center" vertical="center" wrapText="1"/>
      <protection hidden="1"/>
    </xf>
    <xf numFmtId="1" fontId="8" fillId="15" borderId="16" xfId="0" applyNumberFormat="1" applyFont="1" applyFill="1" applyBorder="1" applyAlignment="1" applyProtection="1">
      <alignment horizontal="center" vertical="center" wrapText="1"/>
      <protection hidden="1"/>
    </xf>
    <xf numFmtId="2" fontId="8" fillId="15" borderId="12" xfId="0" applyNumberFormat="1" applyFont="1" applyFill="1" applyBorder="1" applyAlignment="1" applyProtection="1">
      <alignment horizontal="center" vertical="center" wrapText="1"/>
      <protection hidden="1"/>
    </xf>
    <xf numFmtId="2" fontId="8" fillId="15" borderId="17" xfId="0" applyNumberFormat="1" applyFont="1" applyFill="1" applyBorder="1" applyAlignment="1" applyProtection="1">
      <alignment horizontal="center" vertical="center" wrapText="1"/>
      <protection hidden="1"/>
    </xf>
    <xf numFmtId="0" fontId="14" fillId="4" borderId="2" xfId="0" applyFont="1" applyFill="1" applyBorder="1" applyAlignment="1" applyProtection="1">
      <alignment horizontal="center" vertical="center" wrapText="1"/>
      <protection hidden="1"/>
    </xf>
    <xf numFmtId="0" fontId="14" fillId="4" borderId="3" xfId="0" applyFont="1" applyFill="1" applyBorder="1" applyAlignment="1" applyProtection="1">
      <alignment horizontal="center" vertical="center" wrapText="1"/>
      <protection hidden="1"/>
    </xf>
    <xf numFmtId="0" fontId="14" fillId="4" borderId="4" xfId="0" applyFont="1" applyFill="1" applyBorder="1" applyAlignment="1" applyProtection="1">
      <alignment horizontal="center" vertical="center" wrapText="1"/>
      <protection hidden="1"/>
    </xf>
    <xf numFmtId="0" fontId="7" fillId="16" borderId="27" xfId="0" applyFont="1" applyFill="1" applyBorder="1" applyAlignment="1" applyProtection="1">
      <alignment horizontal="center" vertical="center" wrapText="1"/>
      <protection hidden="1"/>
    </xf>
    <xf numFmtId="0" fontId="7" fillId="16" borderId="8" xfId="0" applyFont="1" applyFill="1" applyBorder="1" applyAlignment="1" applyProtection="1">
      <alignment horizontal="center" vertical="center" wrapText="1"/>
      <protection hidden="1"/>
    </xf>
    <xf numFmtId="0" fontId="7" fillId="21" borderId="69" xfId="0" applyFont="1" applyFill="1" applyBorder="1" applyAlignment="1" applyProtection="1">
      <alignment horizontal="center" vertical="center" wrapText="1"/>
      <protection hidden="1"/>
    </xf>
    <xf numFmtId="0" fontId="7" fillId="21" borderId="68" xfId="0" applyFont="1" applyFill="1" applyBorder="1" applyAlignment="1" applyProtection="1">
      <alignment horizontal="center" vertical="center" wrapText="1"/>
      <protection hidden="1"/>
    </xf>
    <xf numFmtId="0" fontId="7" fillId="21" borderId="72" xfId="0" applyFont="1" applyFill="1" applyBorder="1" applyAlignment="1" applyProtection="1">
      <alignment horizontal="center" vertical="center" wrapText="1"/>
      <protection hidden="1"/>
    </xf>
    <xf numFmtId="169" fontId="8" fillId="15" borderId="24" xfId="0" applyNumberFormat="1" applyFont="1" applyFill="1" applyBorder="1" applyAlignment="1" applyProtection="1">
      <alignment horizontal="center" vertical="center" wrapText="1"/>
      <protection hidden="1"/>
    </xf>
    <xf numFmtId="169" fontId="8" fillId="15" borderId="26" xfId="0" applyNumberFormat="1" applyFont="1" applyFill="1" applyBorder="1" applyAlignment="1" applyProtection="1">
      <alignment horizontal="center" vertical="center" wrapText="1"/>
      <protection hidden="1"/>
    </xf>
    <xf numFmtId="0" fontId="8" fillId="2" borderId="6" xfId="0" applyFont="1" applyFill="1" applyBorder="1" applyAlignment="1" applyProtection="1">
      <alignment horizontal="center" vertical="center" wrapText="1"/>
      <protection hidden="1"/>
    </xf>
    <xf numFmtId="0" fontId="8" fillId="2" borderId="7" xfId="0" applyFont="1" applyFill="1" applyBorder="1" applyAlignment="1" applyProtection="1">
      <alignment horizontal="center" vertical="center" wrapText="1"/>
      <protection hidden="1"/>
    </xf>
    <xf numFmtId="0" fontId="15" fillId="0" borderId="6" xfId="0" applyFont="1" applyFill="1" applyBorder="1" applyAlignment="1" applyProtection="1">
      <alignment horizontal="center" vertical="center" wrapText="1"/>
      <protection hidden="1"/>
    </xf>
    <xf numFmtId="0" fontId="15" fillId="0" borderId="7" xfId="0" applyFont="1" applyFill="1" applyBorder="1" applyAlignment="1" applyProtection="1">
      <alignment horizontal="center" vertical="center" wrapText="1"/>
      <protection hidden="1"/>
    </xf>
    <xf numFmtId="0" fontId="15" fillId="0" borderId="8" xfId="0" applyFont="1" applyFill="1" applyBorder="1" applyAlignment="1" applyProtection="1">
      <alignment horizontal="center" vertical="center" wrapText="1"/>
      <protection hidden="1"/>
    </xf>
    <xf numFmtId="169" fontId="8" fillId="19" borderId="27" xfId="0" applyNumberFormat="1" applyFont="1" applyFill="1" applyBorder="1" applyAlignment="1" applyProtection="1">
      <alignment horizontal="center" vertical="center" wrapText="1"/>
      <protection hidden="1"/>
    </xf>
    <xf numFmtId="169" fontId="8" fillId="19" borderId="20" xfId="0" applyNumberFormat="1" applyFont="1" applyFill="1" applyBorder="1" applyAlignment="1" applyProtection="1">
      <alignment horizontal="center" vertical="center" wrapText="1"/>
      <protection hidden="1"/>
    </xf>
    <xf numFmtId="14" fontId="8" fillId="19" borderId="21" xfId="0" applyNumberFormat="1" applyFont="1" applyFill="1" applyBorder="1" applyAlignment="1" applyProtection="1">
      <alignment horizontal="center" vertical="center" wrapText="1"/>
      <protection hidden="1"/>
    </xf>
    <xf numFmtId="14" fontId="8" fillId="19" borderId="19" xfId="0" applyNumberFormat="1" applyFont="1" applyFill="1" applyBorder="1" applyAlignment="1" applyProtection="1">
      <alignment horizontal="center" vertical="center" wrapText="1"/>
      <protection hidden="1"/>
    </xf>
    <xf numFmtId="167" fontId="77" fillId="7" borderId="39" xfId="0" applyNumberFormat="1" applyFont="1" applyFill="1" applyBorder="1" applyAlignment="1" applyProtection="1">
      <alignment horizontal="center" vertical="center" wrapText="1"/>
      <protection hidden="1"/>
    </xf>
    <xf numFmtId="167" fontId="77" fillId="7" borderId="9" xfId="0" applyNumberFormat="1" applyFont="1" applyFill="1" applyBorder="1" applyAlignment="1" applyProtection="1">
      <alignment horizontal="center" vertical="center" wrapText="1"/>
      <protection hidden="1"/>
    </xf>
    <xf numFmtId="167" fontId="77" fillId="7" borderId="42" xfId="0" applyNumberFormat="1" applyFont="1" applyFill="1" applyBorder="1" applyAlignment="1" applyProtection="1">
      <alignment horizontal="center" vertical="center" wrapText="1"/>
      <protection hidden="1"/>
    </xf>
    <xf numFmtId="1" fontId="77" fillId="7" borderId="39" xfId="0" applyNumberFormat="1" applyFont="1" applyFill="1" applyBorder="1" applyAlignment="1" applyProtection="1">
      <alignment horizontal="center" vertical="center" wrapText="1"/>
      <protection hidden="1"/>
    </xf>
    <xf numFmtId="1" fontId="77" fillId="7" borderId="9" xfId="0" applyNumberFormat="1" applyFont="1" applyFill="1" applyBorder="1" applyAlignment="1" applyProtection="1">
      <alignment horizontal="center" vertical="center" wrapText="1"/>
      <protection hidden="1"/>
    </xf>
    <xf numFmtId="1" fontId="77" fillId="7" borderId="42" xfId="0" applyNumberFormat="1" applyFont="1" applyFill="1" applyBorder="1" applyAlignment="1" applyProtection="1">
      <alignment horizontal="center" vertical="center" wrapText="1"/>
      <protection hidden="1"/>
    </xf>
    <xf numFmtId="0" fontId="76" fillId="5" borderId="6" xfId="0" applyFont="1" applyFill="1" applyBorder="1" applyAlignment="1" applyProtection="1">
      <alignment horizontal="center" vertical="center" wrapText="1"/>
      <protection hidden="1"/>
    </xf>
    <xf numFmtId="0" fontId="76" fillId="5" borderId="7" xfId="0" applyFont="1" applyFill="1" applyBorder="1" applyAlignment="1" applyProtection="1">
      <alignment horizontal="center" vertical="center" wrapText="1"/>
      <protection hidden="1"/>
    </xf>
    <xf numFmtId="0" fontId="76" fillId="5" borderId="8" xfId="0" applyFont="1" applyFill="1" applyBorder="1" applyAlignment="1" applyProtection="1">
      <alignment horizontal="center" vertical="center" wrapText="1"/>
      <protection hidden="1"/>
    </xf>
    <xf numFmtId="0" fontId="76" fillId="4" borderId="6" xfId="0" applyFont="1" applyFill="1" applyBorder="1" applyAlignment="1" applyProtection="1">
      <alignment horizontal="center" vertical="center" wrapText="1"/>
      <protection hidden="1"/>
    </xf>
    <xf numFmtId="0" fontId="76" fillId="4" borderId="7" xfId="0" applyFont="1" applyFill="1" applyBorder="1" applyAlignment="1" applyProtection="1">
      <alignment horizontal="center" vertical="center" wrapText="1"/>
      <protection hidden="1"/>
    </xf>
    <xf numFmtId="0" fontId="14" fillId="25" borderId="6" xfId="0" applyFont="1" applyFill="1" applyBorder="1" applyAlignment="1" applyProtection="1">
      <alignment horizontal="center" vertical="center" wrapText="1"/>
      <protection hidden="1"/>
    </xf>
    <xf numFmtId="0" fontId="14" fillId="25" borderId="7" xfId="0" applyFont="1" applyFill="1" applyBorder="1" applyAlignment="1" applyProtection="1">
      <alignment horizontal="center" vertical="center" wrapText="1"/>
      <protection hidden="1"/>
    </xf>
    <xf numFmtId="0" fontId="91" fillId="0" borderId="69" xfId="0" applyFont="1" applyBorder="1" applyAlignment="1">
      <alignment horizontal="center" vertical="center" wrapText="1"/>
    </xf>
    <xf numFmtId="0" fontId="85" fillId="34" borderId="2" xfId="0" applyFont="1" applyFill="1" applyBorder="1" applyAlignment="1">
      <alignment horizontal="center" vertical="center"/>
    </xf>
    <xf numFmtId="0" fontId="85" fillId="34" borderId="3" xfId="0" applyFont="1" applyFill="1" applyBorder="1" applyAlignment="1">
      <alignment horizontal="center" vertical="center"/>
    </xf>
    <xf numFmtId="0" fontId="85" fillId="34" borderId="4" xfId="0" applyFont="1" applyFill="1" applyBorder="1" applyAlignment="1">
      <alignment horizontal="center" vertical="center"/>
    </xf>
    <xf numFmtId="0" fontId="85" fillId="34" borderId="45" xfId="0" applyFont="1" applyFill="1" applyBorder="1" applyAlignment="1">
      <alignment horizontal="center" vertical="center"/>
    </xf>
    <xf numFmtId="0" fontId="85" fillId="34" borderId="5" xfId="0" applyFont="1" applyFill="1" applyBorder="1" applyAlignment="1">
      <alignment horizontal="center" vertical="center"/>
    </xf>
    <xf numFmtId="0" fontId="85" fillId="34" borderId="37" xfId="0" applyFont="1" applyFill="1" applyBorder="1" applyAlignment="1">
      <alignment horizontal="center" vertical="center"/>
    </xf>
    <xf numFmtId="0" fontId="7" fillId="16" borderId="6" xfId="0" applyFont="1" applyFill="1" applyBorder="1" applyAlignment="1" applyProtection="1">
      <alignment horizontal="left" vertical="center" wrapText="1"/>
      <protection hidden="1"/>
    </xf>
    <xf numFmtId="0" fontId="7" fillId="16" borderId="7" xfId="0" applyFont="1" applyFill="1" applyBorder="1" applyAlignment="1" applyProtection="1">
      <alignment horizontal="left" vertical="center" wrapText="1"/>
      <protection hidden="1"/>
    </xf>
    <xf numFmtId="0" fontId="1" fillId="12" borderId="50" xfId="0" applyFont="1" applyFill="1" applyBorder="1" applyAlignment="1" applyProtection="1">
      <alignment horizontal="center" vertical="center" wrapText="1"/>
      <protection hidden="1"/>
    </xf>
    <xf numFmtId="0" fontId="1" fillId="12" borderId="61" xfId="0" applyFont="1" applyFill="1" applyBorder="1" applyAlignment="1" applyProtection="1">
      <alignment horizontal="center" vertical="center" wrapText="1"/>
      <protection hidden="1"/>
    </xf>
    <xf numFmtId="169" fontId="1" fillId="12" borderId="34" xfId="0" applyNumberFormat="1" applyFont="1" applyFill="1" applyBorder="1" applyAlignment="1" applyProtection="1">
      <alignment horizontal="center" vertical="center" wrapText="1"/>
      <protection hidden="1"/>
    </xf>
    <xf numFmtId="169" fontId="1" fillId="12" borderId="32" xfId="0" applyNumberFormat="1" applyFont="1" applyFill="1" applyBorder="1" applyAlignment="1" applyProtection="1">
      <alignment horizontal="center" vertical="center" wrapText="1"/>
      <protection hidden="1"/>
    </xf>
    <xf numFmtId="0" fontId="1" fillId="12" borderId="34" xfId="0" applyFont="1" applyFill="1" applyBorder="1" applyAlignment="1" applyProtection="1">
      <alignment horizontal="center" vertical="center" wrapText="1"/>
      <protection hidden="1"/>
    </xf>
    <xf numFmtId="0" fontId="1" fillId="12" borderId="32" xfId="0" applyFont="1" applyFill="1" applyBorder="1" applyAlignment="1" applyProtection="1">
      <alignment horizontal="center" vertical="center" wrapText="1"/>
      <protection hidden="1"/>
    </xf>
    <xf numFmtId="0" fontId="76" fillId="0" borderId="0" xfId="0" applyFont="1" applyFill="1" applyBorder="1" applyAlignment="1" applyProtection="1">
      <alignment horizontal="left" vertical="center" wrapText="1"/>
      <protection hidden="1"/>
    </xf>
    <xf numFmtId="0" fontId="7" fillId="5" borderId="18" xfId="0" applyFont="1" applyFill="1" applyBorder="1" applyAlignment="1" applyProtection="1">
      <alignment horizontal="center" vertical="center" wrapText="1"/>
      <protection hidden="1"/>
    </xf>
    <xf numFmtId="0" fontId="7" fillId="5" borderId="27" xfId="0" applyFont="1" applyFill="1" applyBorder="1" applyAlignment="1" applyProtection="1">
      <alignment horizontal="center" vertical="center" wrapText="1"/>
      <protection hidden="1"/>
    </xf>
    <xf numFmtId="0" fontId="76" fillId="33" borderId="2" xfId="0" applyFont="1" applyFill="1" applyBorder="1" applyAlignment="1">
      <alignment horizontal="center" vertical="center" wrapText="1"/>
    </xf>
    <xf numFmtId="0" fontId="76" fillId="33" borderId="4" xfId="0" applyFont="1" applyFill="1" applyBorder="1" applyAlignment="1">
      <alignment horizontal="center" vertical="center" wrapText="1"/>
    </xf>
    <xf numFmtId="0" fontId="76" fillId="33" borderId="3" xfId="0" applyFont="1" applyFill="1" applyBorder="1" applyAlignment="1">
      <alignment horizontal="center" vertical="center" wrapText="1"/>
    </xf>
    <xf numFmtId="0" fontId="91" fillId="0" borderId="48" xfId="0" applyFont="1" applyBorder="1" applyAlignment="1">
      <alignment horizontal="center" vertical="center" wrapText="1"/>
    </xf>
    <xf numFmtId="0" fontId="76" fillId="33" borderId="6" xfId="0" applyFont="1" applyFill="1" applyBorder="1" applyAlignment="1">
      <alignment horizontal="center" vertical="center" wrapText="1"/>
    </xf>
    <xf numFmtId="0" fontId="76" fillId="33" borderId="8" xfId="0" applyFont="1" applyFill="1" applyBorder="1" applyAlignment="1">
      <alignment horizontal="center" vertical="center" wrapText="1"/>
    </xf>
    <xf numFmtId="0" fontId="0" fillId="0" borderId="9" xfId="0" applyFont="1" applyBorder="1" applyAlignment="1">
      <alignment horizontal="center"/>
    </xf>
    <xf numFmtId="0" fontId="7" fillId="0" borderId="11"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14" xfId="0" applyFont="1" applyBorder="1" applyAlignment="1">
      <alignment horizontal="center" vertical="center" wrapText="1"/>
    </xf>
    <xf numFmtId="0" fontId="7" fillId="18" borderId="38" xfId="0" applyFont="1" applyFill="1" applyBorder="1" applyAlignment="1" applyProtection="1">
      <alignment horizontal="center" vertical="center"/>
      <protection hidden="1"/>
    </xf>
    <xf numFmtId="0" fontId="7" fillId="18" borderId="39" xfId="0" applyFont="1" applyFill="1" applyBorder="1" applyAlignment="1" applyProtection="1">
      <alignment horizontal="center" vertical="center"/>
      <protection hidden="1"/>
    </xf>
    <xf numFmtId="0" fontId="7" fillId="18" borderId="40" xfId="0" applyFont="1" applyFill="1" applyBorder="1" applyAlignment="1" applyProtection="1">
      <alignment horizontal="center" vertical="center"/>
      <protection hidden="1"/>
    </xf>
    <xf numFmtId="0" fontId="7" fillId="18" borderId="31" xfId="0" applyFont="1" applyFill="1" applyBorder="1" applyAlignment="1" applyProtection="1">
      <alignment horizontal="center" vertical="center"/>
      <protection hidden="1"/>
    </xf>
    <xf numFmtId="0" fontId="7" fillId="18" borderId="9" xfId="0" applyFont="1" applyFill="1" applyBorder="1" applyAlignment="1" applyProtection="1">
      <alignment horizontal="center" vertical="center"/>
      <protection hidden="1"/>
    </xf>
    <xf numFmtId="0" fontId="7" fillId="18" borderId="33" xfId="0" applyFont="1" applyFill="1" applyBorder="1" applyAlignment="1" applyProtection="1">
      <alignment horizontal="center" vertical="center"/>
      <protection hidden="1"/>
    </xf>
    <xf numFmtId="169" fontId="55" fillId="2" borderId="7" xfId="0" applyNumberFormat="1" applyFont="1" applyFill="1" applyBorder="1" applyAlignment="1">
      <alignment horizontal="center" vertical="center"/>
    </xf>
    <xf numFmtId="169" fontId="55" fillId="2" borderId="8" xfId="0" applyNumberFormat="1" applyFont="1" applyFill="1" applyBorder="1" applyAlignment="1">
      <alignment horizontal="center" vertical="center"/>
    </xf>
    <xf numFmtId="169" fontId="8" fillId="0" borderId="0" xfId="0" applyNumberFormat="1" applyFont="1" applyFill="1" applyBorder="1" applyAlignment="1">
      <alignment horizontal="center" vertical="center"/>
    </xf>
    <xf numFmtId="0" fontId="7" fillId="0" borderId="0" xfId="0" applyFont="1" applyFill="1" applyBorder="1" applyAlignment="1">
      <alignment horizontal="center" vertical="center"/>
    </xf>
    <xf numFmtId="169" fontId="35" fillId="13" borderId="31" xfId="0" applyNumberFormat="1" applyFont="1" applyFill="1" applyBorder="1" applyAlignment="1">
      <alignment horizontal="center" vertical="center" wrapText="1"/>
    </xf>
    <xf numFmtId="169" fontId="35" fillId="13" borderId="41" xfId="0" applyNumberFormat="1" applyFont="1" applyFill="1" applyBorder="1" applyAlignment="1">
      <alignment horizontal="center" vertical="center" wrapText="1"/>
    </xf>
    <xf numFmtId="0" fontId="7" fillId="0" borderId="70" xfId="0" applyFont="1" applyFill="1" applyBorder="1" applyAlignment="1">
      <alignment horizontal="center" vertical="center"/>
    </xf>
    <xf numFmtId="0" fontId="7" fillId="0" borderId="65" xfId="0" applyFont="1" applyFill="1" applyBorder="1" applyAlignment="1">
      <alignment horizontal="center" vertical="center"/>
    </xf>
    <xf numFmtId="0" fontId="7" fillId="0" borderId="71" xfId="0" applyFont="1" applyFill="1" applyBorder="1" applyAlignment="1">
      <alignment horizontal="center" vertical="center"/>
    </xf>
    <xf numFmtId="0" fontId="8" fillId="0" borderId="9"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14" xfId="0" applyFont="1" applyBorder="1" applyAlignment="1">
      <alignment horizontal="center" vertical="center" wrapText="1"/>
    </xf>
    <xf numFmtId="0" fontId="14" fillId="8" borderId="2" xfId="0" applyFont="1" applyFill="1" applyBorder="1" applyAlignment="1">
      <alignment horizontal="center" vertical="center"/>
    </xf>
    <xf numFmtId="0" fontId="14" fillId="8" borderId="3" xfId="0" applyFont="1" applyFill="1" applyBorder="1" applyAlignment="1">
      <alignment horizontal="center" vertical="center"/>
    </xf>
    <xf numFmtId="0" fontId="14" fillId="8" borderId="45" xfId="0" applyFont="1" applyFill="1" applyBorder="1" applyAlignment="1">
      <alignment horizontal="center" vertical="center"/>
    </xf>
    <xf numFmtId="0" fontId="14" fillId="8" borderId="5" xfId="0" applyFont="1" applyFill="1" applyBorder="1" applyAlignment="1">
      <alignment horizontal="center" vertical="center"/>
    </xf>
    <xf numFmtId="0" fontId="30" fillId="4" borderId="38" xfId="0" applyFont="1" applyFill="1" applyBorder="1" applyAlignment="1" applyProtection="1">
      <alignment horizontal="center" vertical="center" wrapText="1"/>
      <protection hidden="1"/>
    </xf>
    <xf numFmtId="0" fontId="30" fillId="4" borderId="39" xfId="0" applyFont="1" applyFill="1" applyBorder="1" applyAlignment="1" applyProtection="1">
      <alignment horizontal="center" vertical="center" wrapText="1"/>
      <protection hidden="1"/>
    </xf>
    <xf numFmtId="0" fontId="30" fillId="4" borderId="40" xfId="0" applyFont="1" applyFill="1" applyBorder="1" applyAlignment="1" applyProtection="1">
      <alignment horizontal="center" vertical="center" wrapText="1"/>
      <protection hidden="1"/>
    </xf>
    <xf numFmtId="0" fontId="30" fillId="4" borderId="41" xfId="0" applyFont="1" applyFill="1" applyBorder="1" applyAlignment="1" applyProtection="1">
      <alignment horizontal="center" vertical="center" wrapText="1"/>
      <protection hidden="1"/>
    </xf>
    <xf numFmtId="0" fontId="30" fillId="4" borderId="42" xfId="0" applyFont="1" applyFill="1" applyBorder="1" applyAlignment="1" applyProtection="1">
      <alignment horizontal="center" vertical="center" wrapText="1"/>
      <protection hidden="1"/>
    </xf>
    <xf numFmtId="0" fontId="30" fillId="4" borderId="36" xfId="0" applyFont="1" applyFill="1" applyBorder="1" applyAlignment="1" applyProtection="1">
      <alignment horizontal="center" vertical="center" wrapText="1"/>
      <protection hidden="1"/>
    </xf>
    <xf numFmtId="169" fontId="18" fillId="19" borderId="21" xfId="0" applyNumberFormat="1" applyFont="1" applyFill="1" applyBorder="1" applyAlignment="1" applyProtection="1">
      <alignment horizontal="center" vertical="center" wrapText="1"/>
      <protection hidden="1"/>
    </xf>
    <xf numFmtId="14" fontId="18" fillId="19" borderId="21" xfId="0" applyNumberFormat="1" applyFont="1" applyFill="1" applyBorder="1" applyAlignment="1" applyProtection="1">
      <alignment horizontal="center" vertical="center" wrapText="1"/>
      <protection hidden="1"/>
    </xf>
    <xf numFmtId="14" fontId="18" fillId="19" borderId="19" xfId="0" applyNumberFormat="1" applyFont="1" applyFill="1" applyBorder="1" applyAlignment="1" applyProtection="1">
      <alignment horizontal="center" vertical="center" wrapText="1"/>
      <protection hidden="1"/>
    </xf>
    <xf numFmtId="0" fontId="30" fillId="4" borderId="2" xfId="0" applyFont="1" applyFill="1" applyBorder="1" applyAlignment="1" applyProtection="1">
      <alignment horizontal="center" vertical="center" wrapText="1"/>
      <protection hidden="1"/>
    </xf>
    <xf numFmtId="0" fontId="30" fillId="4" borderId="3" xfId="0" applyFont="1" applyFill="1" applyBorder="1" applyAlignment="1" applyProtection="1">
      <alignment horizontal="center" vertical="center" wrapText="1"/>
      <protection hidden="1"/>
    </xf>
    <xf numFmtId="0" fontId="30" fillId="4" borderId="4" xfId="0" applyFont="1" applyFill="1" applyBorder="1" applyAlignment="1" applyProtection="1">
      <alignment horizontal="center" vertical="center" wrapText="1"/>
      <protection hidden="1"/>
    </xf>
    <xf numFmtId="0" fontId="30" fillId="4" borderId="45" xfId="0" applyFont="1" applyFill="1" applyBorder="1" applyAlignment="1" applyProtection="1">
      <alignment horizontal="center" vertical="center" wrapText="1"/>
      <protection hidden="1"/>
    </xf>
    <xf numFmtId="0" fontId="30" fillId="4" borderId="5" xfId="0" applyFont="1" applyFill="1" applyBorder="1" applyAlignment="1" applyProtection="1">
      <alignment horizontal="center" vertical="center" wrapText="1"/>
      <protection hidden="1"/>
    </xf>
    <xf numFmtId="0" fontId="30" fillId="4" borderId="37" xfId="0" applyFont="1" applyFill="1" applyBorder="1" applyAlignment="1" applyProtection="1">
      <alignment horizontal="center" vertical="center" wrapText="1"/>
      <protection hidden="1"/>
    </xf>
    <xf numFmtId="0" fontId="20" fillId="4" borderId="6" xfId="0" applyFont="1" applyFill="1" applyBorder="1" applyAlignment="1" applyProtection="1">
      <alignment horizontal="center" vertical="center" wrapText="1"/>
      <protection hidden="1"/>
    </xf>
    <xf numFmtId="0" fontId="20" fillId="4" borderId="7" xfId="0" applyFont="1" applyFill="1" applyBorder="1" applyAlignment="1" applyProtection="1">
      <alignment horizontal="center" vertical="center" wrapText="1"/>
      <protection hidden="1"/>
    </xf>
    <xf numFmtId="0" fontId="20" fillId="4" borderId="8" xfId="0" applyFont="1" applyFill="1" applyBorder="1" applyAlignment="1" applyProtection="1">
      <alignment horizontal="center" vertical="center" wrapText="1"/>
      <protection hidden="1"/>
    </xf>
    <xf numFmtId="0" fontId="8" fillId="6" borderId="18" xfId="0" applyFont="1" applyFill="1" applyBorder="1" applyAlignment="1" applyProtection="1">
      <alignment horizontal="center" vertical="center" wrapText="1"/>
      <protection locked="0" hidden="1"/>
    </xf>
    <xf numFmtId="0" fontId="8" fillId="6" borderId="19" xfId="0" applyFont="1" applyFill="1" applyBorder="1" applyAlignment="1" applyProtection="1">
      <alignment horizontal="center" vertical="center" wrapText="1"/>
      <protection locked="0" hidden="1"/>
    </xf>
    <xf numFmtId="0" fontId="26" fillId="0" borderId="6" xfId="0" applyFont="1" applyFill="1" applyBorder="1" applyAlignment="1" applyProtection="1">
      <alignment horizontal="center" vertical="center" wrapText="1"/>
      <protection hidden="1"/>
    </xf>
    <xf numFmtId="0" fontId="26" fillId="0" borderId="7" xfId="0" applyFont="1" applyFill="1" applyBorder="1" applyAlignment="1" applyProtection="1">
      <alignment horizontal="center" vertical="center" wrapText="1"/>
      <protection hidden="1"/>
    </xf>
    <xf numFmtId="0" fontId="26" fillId="0" borderId="8" xfId="0" applyFont="1" applyFill="1" applyBorder="1" applyAlignment="1" applyProtection="1">
      <alignment horizontal="center" vertical="center" wrapText="1"/>
      <protection hidden="1"/>
    </xf>
    <xf numFmtId="169" fontId="18" fillId="19" borderId="27" xfId="0" applyNumberFormat="1" applyFont="1" applyFill="1" applyBorder="1" applyAlignment="1" applyProtection="1">
      <alignment horizontal="center" vertical="center" wrapText="1"/>
      <protection hidden="1"/>
    </xf>
    <xf numFmtId="169" fontId="18" fillId="19" borderId="20" xfId="0" applyNumberFormat="1" applyFont="1" applyFill="1" applyBorder="1" applyAlignment="1" applyProtection="1">
      <alignment horizontal="center" vertical="center" wrapText="1"/>
      <protection hidden="1"/>
    </xf>
    <xf numFmtId="0" fontId="8" fillId="2" borderId="0" xfId="0" applyFont="1" applyFill="1" applyBorder="1" applyAlignment="1" applyProtection="1">
      <alignment horizontal="center" vertical="center" wrapText="1"/>
      <protection hidden="1"/>
    </xf>
    <xf numFmtId="0" fontId="7" fillId="5" borderId="54" xfId="0" applyFont="1" applyFill="1" applyBorder="1" applyAlignment="1" applyProtection="1">
      <alignment horizontal="center" vertical="top" wrapText="1"/>
      <protection hidden="1"/>
    </xf>
    <xf numFmtId="0" fontId="7" fillId="5" borderId="59" xfId="0" applyFont="1" applyFill="1" applyBorder="1" applyAlignment="1" applyProtection="1">
      <alignment horizontal="center" vertical="top" wrapText="1"/>
      <protection hidden="1"/>
    </xf>
    <xf numFmtId="0" fontId="7" fillId="5" borderId="34" xfId="0" applyFont="1" applyFill="1" applyBorder="1" applyAlignment="1" applyProtection="1">
      <alignment horizontal="center" vertical="top" wrapText="1"/>
      <protection hidden="1"/>
    </xf>
    <xf numFmtId="0" fontId="7" fillId="5" borderId="32" xfId="0" applyFont="1" applyFill="1" applyBorder="1" applyAlignment="1" applyProtection="1">
      <alignment horizontal="center" vertical="top" wrapText="1"/>
      <protection hidden="1"/>
    </xf>
    <xf numFmtId="0" fontId="7" fillId="5" borderId="34" xfId="0" applyFont="1" applyFill="1" applyBorder="1" applyAlignment="1" applyProtection="1">
      <alignment horizontal="center" vertical="top"/>
      <protection hidden="1"/>
    </xf>
    <xf numFmtId="0" fontId="7" fillId="5" borderId="32" xfId="0" applyFont="1" applyFill="1" applyBorder="1" applyAlignment="1" applyProtection="1">
      <alignment horizontal="center" vertical="top"/>
      <protection hidden="1"/>
    </xf>
    <xf numFmtId="0" fontId="7" fillId="5" borderId="56" xfId="0" applyFont="1" applyFill="1" applyBorder="1" applyAlignment="1" applyProtection="1">
      <alignment horizontal="center" vertical="top" wrapText="1"/>
      <protection hidden="1"/>
    </xf>
    <xf numFmtId="0" fontId="7" fillId="5" borderId="52" xfId="0" applyFont="1" applyFill="1" applyBorder="1" applyAlignment="1" applyProtection="1">
      <alignment horizontal="center" vertical="top" wrapText="1"/>
      <protection hidden="1"/>
    </xf>
    <xf numFmtId="0" fontId="11" fillId="5" borderId="65" xfId="0" applyFont="1" applyFill="1" applyBorder="1" applyAlignment="1" applyProtection="1">
      <alignment horizontal="center" vertical="center" wrapText="1"/>
      <protection hidden="1"/>
    </xf>
    <xf numFmtId="0" fontId="11" fillId="5" borderId="15" xfId="0" applyFont="1" applyFill="1" applyBorder="1" applyAlignment="1" applyProtection="1">
      <alignment horizontal="center" vertical="center" wrapText="1"/>
      <protection hidden="1"/>
    </xf>
    <xf numFmtId="0" fontId="11" fillId="5" borderId="17" xfId="0" applyFont="1" applyFill="1" applyBorder="1" applyAlignment="1" applyProtection="1">
      <alignment horizontal="center" vertical="center" wrapText="1"/>
      <protection hidden="1"/>
    </xf>
    <xf numFmtId="0" fontId="11" fillId="5" borderId="71" xfId="0" applyFont="1" applyFill="1" applyBorder="1" applyAlignment="1" applyProtection="1">
      <alignment horizontal="center" vertical="center" wrapText="1"/>
      <protection hidden="1"/>
    </xf>
    <xf numFmtId="0" fontId="11" fillId="5" borderId="63" xfId="0" applyFont="1" applyFill="1" applyBorder="1" applyAlignment="1" applyProtection="1">
      <alignment horizontal="center" vertical="center" wrapText="1"/>
      <protection hidden="1"/>
    </xf>
    <xf numFmtId="0" fontId="11" fillId="5" borderId="35" xfId="0" applyFont="1" applyFill="1" applyBorder="1" applyAlignment="1" applyProtection="1">
      <alignment horizontal="center" vertical="center" wrapText="1"/>
      <protection hidden="1"/>
    </xf>
    <xf numFmtId="0" fontId="7" fillId="5" borderId="45" xfId="0" applyFont="1" applyFill="1" applyBorder="1" applyAlignment="1" applyProtection="1">
      <alignment horizontal="center" vertical="top" wrapText="1"/>
      <protection hidden="1"/>
    </xf>
    <xf numFmtId="0" fontId="7" fillId="5" borderId="37" xfId="0" applyFont="1" applyFill="1" applyBorder="1" applyAlignment="1" applyProtection="1">
      <alignment horizontal="center" vertical="top" wrapText="1"/>
      <protection hidden="1"/>
    </xf>
    <xf numFmtId="0" fontId="30" fillId="4" borderId="6" xfId="0" applyFont="1" applyFill="1" applyBorder="1" applyAlignment="1" applyProtection="1">
      <alignment horizontal="center" vertical="center" wrapText="1"/>
      <protection hidden="1"/>
    </xf>
    <xf numFmtId="0" fontId="30" fillId="4" borderId="7" xfId="0" applyFont="1" applyFill="1" applyBorder="1" applyAlignment="1" applyProtection="1">
      <alignment horizontal="center" vertical="center" wrapText="1"/>
      <protection hidden="1"/>
    </xf>
    <xf numFmtId="0" fontId="30" fillId="4" borderId="8" xfId="0" applyFont="1" applyFill="1" applyBorder="1" applyAlignment="1" applyProtection="1">
      <alignment horizontal="center" vertical="center" wrapText="1"/>
      <protection hidden="1"/>
    </xf>
    <xf numFmtId="0" fontId="7" fillId="5" borderId="6" xfId="0" applyFont="1" applyFill="1" applyBorder="1" applyAlignment="1" applyProtection="1">
      <alignment horizontal="center" vertical="center" wrapText="1"/>
      <protection hidden="1"/>
    </xf>
    <xf numFmtId="0" fontId="7" fillId="5" borderId="20" xfId="0" applyFont="1" applyFill="1" applyBorder="1" applyAlignment="1" applyProtection="1">
      <alignment horizontal="center" vertical="center" wrapText="1"/>
      <protection hidden="1"/>
    </xf>
    <xf numFmtId="0" fontId="7" fillId="5" borderId="8" xfId="0" applyFont="1" applyFill="1" applyBorder="1" applyAlignment="1" applyProtection="1">
      <alignment horizontal="center" vertical="center" wrapText="1"/>
      <protection hidden="1"/>
    </xf>
    <xf numFmtId="0" fontId="7" fillId="5" borderId="3" xfId="0" applyFont="1" applyFill="1" applyBorder="1" applyAlignment="1" applyProtection="1">
      <alignment horizontal="center" vertical="top" wrapText="1"/>
      <protection hidden="1"/>
    </xf>
    <xf numFmtId="0" fontId="7" fillId="5" borderId="4" xfId="0" applyFont="1" applyFill="1" applyBorder="1" applyAlignment="1" applyProtection="1">
      <alignment horizontal="center" vertical="top" wrapText="1"/>
      <protection hidden="1"/>
    </xf>
    <xf numFmtId="0" fontId="7" fillId="5" borderId="13" xfId="0" applyFont="1" applyFill="1" applyBorder="1" applyAlignment="1" applyProtection="1">
      <alignment horizontal="center" vertical="top" wrapText="1"/>
      <protection hidden="1"/>
    </xf>
    <xf numFmtId="0" fontId="7" fillId="5" borderId="61" xfId="0" applyFont="1" applyFill="1" applyBorder="1" applyAlignment="1" applyProtection="1">
      <alignment horizontal="center" vertical="top" wrapText="1"/>
      <protection hidden="1"/>
    </xf>
    <xf numFmtId="166" fontId="8" fillId="13" borderId="60" xfId="0" applyNumberFormat="1" applyFont="1" applyFill="1" applyBorder="1" applyAlignment="1" applyProtection="1">
      <alignment horizontal="center" vertical="center"/>
      <protection hidden="1"/>
    </xf>
    <xf numFmtId="166" fontId="8" fillId="13" borderId="59" xfId="0" applyNumberFormat="1" applyFont="1" applyFill="1" applyBorder="1" applyAlignment="1" applyProtection="1">
      <alignment horizontal="center" vertical="center"/>
      <protection hidden="1"/>
    </xf>
    <xf numFmtId="0" fontId="30" fillId="8" borderId="6" xfId="0" applyFont="1" applyFill="1" applyBorder="1" applyAlignment="1" applyProtection="1">
      <alignment horizontal="center" vertical="center" wrapText="1"/>
      <protection hidden="1"/>
    </xf>
    <xf numFmtId="0" fontId="30" fillId="8" borderId="7" xfId="0" applyFont="1" applyFill="1" applyBorder="1" applyAlignment="1" applyProtection="1">
      <alignment horizontal="center" vertical="center" wrapText="1"/>
      <protection hidden="1"/>
    </xf>
    <xf numFmtId="0" fontId="30" fillId="8" borderId="8" xfId="0" applyFont="1" applyFill="1" applyBorder="1" applyAlignment="1" applyProtection="1">
      <alignment horizontal="center" vertical="center" wrapText="1"/>
      <protection hidden="1"/>
    </xf>
    <xf numFmtId="0" fontId="41" fillId="8" borderId="2" xfId="0" applyFont="1" applyFill="1" applyBorder="1" applyAlignment="1" applyProtection="1">
      <alignment horizontal="center" vertical="center" wrapText="1"/>
      <protection hidden="1"/>
    </xf>
    <xf numFmtId="0" fontId="41" fillId="8" borderId="3" xfId="0" applyFont="1" applyFill="1" applyBorder="1" applyAlignment="1" applyProtection="1">
      <alignment horizontal="center" vertical="center" wrapText="1"/>
      <protection hidden="1"/>
    </xf>
    <xf numFmtId="0" fontId="41" fillId="8" borderId="4" xfId="0" applyFont="1" applyFill="1" applyBorder="1" applyAlignment="1" applyProtection="1">
      <alignment horizontal="center" vertical="center" wrapText="1"/>
      <protection hidden="1"/>
    </xf>
    <xf numFmtId="1" fontId="24" fillId="7" borderId="4" xfId="0" applyNumberFormat="1" applyFont="1" applyFill="1" applyBorder="1" applyAlignment="1" applyProtection="1">
      <alignment horizontal="center" vertical="center" wrapText="1"/>
      <protection hidden="1"/>
    </xf>
    <xf numFmtId="1" fontId="24" fillId="7" borderId="47" xfId="0" applyNumberFormat="1" applyFont="1" applyFill="1" applyBorder="1" applyAlignment="1" applyProtection="1">
      <alignment horizontal="center" vertical="center" wrapText="1"/>
      <protection hidden="1"/>
    </xf>
    <xf numFmtId="1" fontId="24" fillId="7" borderId="37" xfId="0" applyNumberFormat="1" applyFont="1" applyFill="1" applyBorder="1" applyAlignment="1" applyProtection="1">
      <alignment horizontal="center" vertical="center" wrapText="1"/>
      <protection hidden="1"/>
    </xf>
    <xf numFmtId="167" fontId="24" fillId="7" borderId="69" xfId="0" applyNumberFormat="1" applyFont="1" applyFill="1" applyBorder="1" applyAlignment="1" applyProtection="1">
      <alignment horizontal="center" vertical="center" wrapText="1"/>
      <protection hidden="1"/>
    </xf>
    <xf numFmtId="167" fontId="24" fillId="7" borderId="68" xfId="0" applyNumberFormat="1" applyFont="1" applyFill="1" applyBorder="1" applyAlignment="1" applyProtection="1">
      <alignment horizontal="center" vertical="center" wrapText="1"/>
      <protection hidden="1"/>
    </xf>
    <xf numFmtId="167" fontId="24" fillId="7" borderId="48" xfId="0" applyNumberFormat="1" applyFont="1" applyFill="1" applyBorder="1" applyAlignment="1" applyProtection="1">
      <alignment horizontal="center" vertical="center" wrapText="1"/>
      <protection hidden="1"/>
    </xf>
    <xf numFmtId="2" fontId="18" fillId="15" borderId="9" xfId="0" applyNumberFormat="1" applyFont="1" applyFill="1" applyBorder="1" applyAlignment="1" applyProtection="1">
      <alignment horizontal="center" vertical="center" wrapText="1"/>
      <protection hidden="1"/>
    </xf>
    <xf numFmtId="2" fontId="18" fillId="15" borderId="42" xfId="0" applyNumberFormat="1" applyFont="1" applyFill="1" applyBorder="1" applyAlignment="1" applyProtection="1">
      <alignment horizontal="center" vertical="center" wrapText="1"/>
      <protection hidden="1"/>
    </xf>
    <xf numFmtId="0" fontId="11" fillId="5" borderId="70" xfId="0" applyFont="1" applyFill="1" applyBorder="1" applyAlignment="1" applyProtection="1">
      <alignment horizontal="center" vertical="center" wrapText="1"/>
      <protection hidden="1"/>
    </xf>
    <xf numFmtId="0" fontId="11" fillId="5" borderId="49" xfId="0" applyFont="1" applyFill="1" applyBorder="1" applyAlignment="1" applyProtection="1">
      <alignment horizontal="center" vertical="center" wrapText="1"/>
      <protection hidden="1"/>
    </xf>
    <xf numFmtId="0" fontId="30" fillId="25" borderId="2" xfId="0" applyFont="1" applyFill="1" applyBorder="1" applyAlignment="1" applyProtection="1">
      <alignment horizontal="center" vertical="center" wrapText="1"/>
      <protection hidden="1"/>
    </xf>
    <xf numFmtId="0" fontId="30" fillId="25" borderId="3" xfId="0" applyFont="1" applyFill="1" applyBorder="1" applyAlignment="1" applyProtection="1">
      <alignment horizontal="center" vertical="center" wrapText="1"/>
      <protection hidden="1"/>
    </xf>
    <xf numFmtId="0" fontId="30" fillId="25" borderId="4" xfId="0" applyFont="1" applyFill="1" applyBorder="1" applyAlignment="1" applyProtection="1">
      <alignment horizontal="center" vertical="center" wrapText="1"/>
      <protection hidden="1"/>
    </xf>
    <xf numFmtId="0" fontId="11" fillId="5" borderId="56" xfId="1" applyFont="1" applyFill="1" applyBorder="1" applyAlignment="1" applyProtection="1">
      <alignment horizontal="center" vertical="center" wrapText="1"/>
      <protection hidden="1"/>
    </xf>
    <xf numFmtId="0" fontId="11" fillId="5" borderId="46" xfId="1" applyFont="1" applyFill="1" applyBorder="1" applyAlignment="1" applyProtection="1">
      <alignment horizontal="center" vertical="center" wrapText="1"/>
      <protection hidden="1"/>
    </xf>
    <xf numFmtId="0" fontId="11" fillId="5" borderId="30" xfId="1" applyFont="1" applyFill="1" applyBorder="1" applyAlignment="1" applyProtection="1">
      <alignment horizontal="center" vertical="center" wrapText="1"/>
      <protection hidden="1"/>
    </xf>
    <xf numFmtId="0" fontId="11" fillId="5" borderId="52" xfId="1" applyFont="1" applyFill="1" applyBorder="1" applyAlignment="1" applyProtection="1">
      <alignment horizontal="center" vertical="center" wrapText="1"/>
      <protection hidden="1"/>
    </xf>
    <xf numFmtId="0" fontId="8" fillId="6" borderId="6" xfId="0" applyFont="1" applyFill="1" applyBorder="1" applyAlignment="1" applyProtection="1">
      <alignment horizontal="center" vertical="center" wrapText="1"/>
      <protection locked="0" hidden="1"/>
    </xf>
    <xf numFmtId="0" fontId="8" fillId="6" borderId="8" xfId="0" applyFont="1" applyFill="1" applyBorder="1" applyAlignment="1" applyProtection="1">
      <alignment horizontal="center" vertical="center" wrapText="1"/>
      <protection locked="0" hidden="1"/>
    </xf>
    <xf numFmtId="1" fontId="18" fillId="15" borderId="31" xfId="0" applyNumberFormat="1" applyFont="1" applyFill="1" applyBorder="1" applyAlignment="1" applyProtection="1">
      <alignment horizontal="center" vertical="center" wrapText="1"/>
      <protection hidden="1"/>
    </xf>
    <xf numFmtId="1" fontId="18" fillId="15" borderId="41" xfId="0" applyNumberFormat="1" applyFont="1" applyFill="1" applyBorder="1" applyAlignment="1" applyProtection="1">
      <alignment horizontal="center" vertical="center" wrapText="1"/>
      <protection hidden="1"/>
    </xf>
    <xf numFmtId="0" fontId="35" fillId="2" borderId="0" xfId="0" applyFont="1" applyFill="1" applyBorder="1" applyAlignment="1" applyProtection="1">
      <alignment horizontal="left" vertical="center" wrapText="1"/>
      <protection hidden="1"/>
    </xf>
    <xf numFmtId="0" fontId="35" fillId="0" borderId="0" xfId="0" applyFont="1" applyAlignment="1" applyProtection="1">
      <alignment horizontal="left" vertical="center" wrapText="1"/>
      <protection hidden="1"/>
    </xf>
    <xf numFmtId="0" fontId="35" fillId="0" borderId="0" xfId="0" applyFont="1" applyBorder="1" applyAlignment="1" applyProtection="1">
      <alignment horizontal="left" vertical="center" wrapText="1"/>
      <protection hidden="1"/>
    </xf>
    <xf numFmtId="169" fontId="35" fillId="0" borderId="0" xfId="0" applyNumberFormat="1" applyFont="1" applyBorder="1" applyAlignment="1" applyProtection="1">
      <alignment horizontal="left" vertical="center" wrapText="1"/>
      <protection hidden="1"/>
    </xf>
    <xf numFmtId="0" fontId="35" fillId="0" borderId="0" xfId="0" applyFont="1" applyBorder="1" applyAlignment="1" applyProtection="1">
      <alignment horizontal="right" vertical="center" wrapText="1"/>
      <protection hidden="1"/>
    </xf>
    <xf numFmtId="169" fontId="36" fillId="0" borderId="0" xfId="0" applyNumberFormat="1" applyFont="1" applyBorder="1" applyAlignment="1" applyProtection="1">
      <alignment horizontal="left" vertical="center" wrapText="1"/>
      <protection hidden="1"/>
    </xf>
    <xf numFmtId="0" fontId="56" fillId="0" borderId="0" xfId="0" applyFont="1" applyAlignment="1" applyProtection="1">
      <alignment horizontal="center"/>
      <protection hidden="1"/>
    </xf>
    <xf numFmtId="1" fontId="15" fillId="0" borderId="0" xfId="0" applyNumberFormat="1" applyFont="1" applyAlignment="1" applyProtection="1">
      <alignment horizontal="left" vertical="center" wrapText="1"/>
      <protection hidden="1"/>
    </xf>
    <xf numFmtId="0" fontId="15" fillId="0" borderId="0" xfId="0" applyFont="1" applyBorder="1" applyAlignment="1" applyProtection="1">
      <alignment horizontal="left" vertical="center" wrapText="1"/>
      <protection hidden="1"/>
    </xf>
    <xf numFmtId="0" fontId="36" fillId="0" borderId="0" xfId="0" applyFont="1" applyAlignment="1" applyProtection="1">
      <alignment horizontal="left" vertical="center" wrapText="1"/>
      <protection hidden="1"/>
    </xf>
    <xf numFmtId="0" fontId="35" fillId="0" borderId="0" xfId="0" applyFont="1" applyFill="1" applyBorder="1" applyAlignment="1" applyProtection="1">
      <alignment horizontal="left" vertical="center" wrapText="1"/>
      <protection hidden="1"/>
    </xf>
    <xf numFmtId="169" fontId="36" fillId="0" borderId="0" xfId="0" applyNumberFormat="1" applyFont="1" applyAlignment="1" applyProtection="1">
      <alignment horizontal="left" vertical="center" wrapText="1"/>
      <protection hidden="1"/>
    </xf>
    <xf numFmtId="0" fontId="36" fillId="0" borderId="0" xfId="0" applyFont="1" applyAlignment="1" applyProtection="1">
      <alignment horizontal="left" vertical="center" wrapText="1"/>
      <protection locked="0" hidden="1"/>
    </xf>
    <xf numFmtId="0" fontId="56" fillId="0" borderId="0" xfId="0" applyFont="1" applyBorder="1" applyAlignment="1" applyProtection="1">
      <alignment horizontal="left" vertical="center" wrapText="1"/>
      <protection hidden="1"/>
    </xf>
    <xf numFmtId="14" fontId="58" fillId="0" borderId="0" xfId="0" applyNumberFormat="1" applyFont="1" applyBorder="1" applyAlignment="1" applyProtection="1">
      <alignment horizontal="left" vertical="center" wrapText="1"/>
      <protection hidden="1"/>
    </xf>
    <xf numFmtId="0" fontId="58" fillId="0" borderId="0" xfId="0" applyFont="1" applyBorder="1" applyAlignment="1" applyProtection="1">
      <alignment horizontal="left" vertical="center" wrapText="1"/>
      <protection hidden="1"/>
    </xf>
    <xf numFmtId="0" fontId="56" fillId="0" borderId="0" xfId="0" applyFont="1" applyAlignment="1" applyProtection="1">
      <alignment horizontal="left" vertical="center" wrapText="1"/>
      <protection hidden="1"/>
    </xf>
    <xf numFmtId="14" fontId="36" fillId="0" borderId="0" xfId="0" applyNumberFormat="1" applyFont="1" applyBorder="1" applyAlignment="1" applyProtection="1">
      <alignment horizontal="left" vertical="center" wrapText="1"/>
      <protection hidden="1"/>
    </xf>
    <xf numFmtId="14" fontId="35" fillId="0" borderId="0" xfId="0" applyNumberFormat="1" applyFont="1" applyBorder="1" applyAlignment="1" applyProtection="1">
      <alignment horizontal="left" vertical="center" wrapText="1"/>
      <protection hidden="1"/>
    </xf>
    <xf numFmtId="0" fontId="15" fillId="0" borderId="0" xfId="0" applyFont="1" applyFill="1" applyAlignment="1" applyProtection="1">
      <alignment horizontal="left" vertical="center"/>
      <protection hidden="1"/>
    </xf>
    <xf numFmtId="0" fontId="35" fillId="0" borderId="0" xfId="0" applyFont="1" applyFill="1" applyAlignment="1" applyProtection="1">
      <alignment horizontal="justify" vertical="center" wrapText="1"/>
      <protection hidden="1"/>
    </xf>
    <xf numFmtId="0" fontId="36" fillId="0" borderId="0" xfId="0" applyFont="1" applyFill="1" applyAlignment="1" applyProtection="1">
      <alignment horizontal="justify" vertical="justify" wrapText="1"/>
      <protection locked="0" hidden="1"/>
    </xf>
    <xf numFmtId="0" fontId="59" fillId="0" borderId="0" xfId="0" applyFont="1" applyAlignment="1" applyProtection="1">
      <alignment horizontal="center" vertical="center"/>
      <protection hidden="1"/>
    </xf>
    <xf numFmtId="0" fontId="35" fillId="0" borderId="0" xfId="0" applyFont="1" applyAlignment="1" applyProtection="1">
      <alignment horizontal="justify" vertical="center" wrapText="1"/>
      <protection hidden="1"/>
    </xf>
    <xf numFmtId="0" fontId="35" fillId="0" borderId="0" xfId="0" applyFont="1" applyAlignment="1" applyProtection="1">
      <alignment horizontal="left" vertical="justify" wrapText="1"/>
      <protection hidden="1"/>
    </xf>
    <xf numFmtId="0" fontId="15" fillId="0" borderId="1" xfId="0" applyFont="1" applyBorder="1" applyAlignment="1" applyProtection="1">
      <alignment horizontal="center" vertical="center" wrapText="1"/>
      <protection hidden="1"/>
    </xf>
    <xf numFmtId="0" fontId="35" fillId="0" borderId="0" xfId="0" applyFont="1" applyFill="1" applyAlignment="1" applyProtection="1">
      <alignment horizontal="left" vertical="center" wrapText="1"/>
      <protection hidden="1"/>
    </xf>
    <xf numFmtId="0" fontId="36" fillId="0" borderId="0" xfId="0" applyFont="1" applyAlignment="1" applyProtection="1">
      <alignment horizontal="justify" vertical="center" wrapText="1"/>
      <protection locked="0" hidden="1"/>
    </xf>
    <xf numFmtId="0" fontId="17" fillId="0" borderId="6" xfId="0" applyFont="1" applyBorder="1" applyAlignment="1" applyProtection="1">
      <alignment horizontal="center" vertical="center" wrapText="1"/>
      <protection hidden="1"/>
    </xf>
    <xf numFmtId="0" fontId="17" fillId="0" borderId="7" xfId="0" applyFont="1" applyBorder="1" applyAlignment="1" applyProtection="1">
      <alignment horizontal="center" vertical="center" wrapText="1"/>
      <protection hidden="1"/>
    </xf>
    <xf numFmtId="0" fontId="17" fillId="0" borderId="8" xfId="0" applyFont="1" applyBorder="1" applyAlignment="1" applyProtection="1">
      <alignment horizontal="center" vertical="center" wrapText="1"/>
      <protection hidden="1"/>
    </xf>
    <xf numFmtId="0" fontId="17" fillId="0" borderId="6" xfId="0" applyFont="1" applyFill="1" applyBorder="1" applyAlignment="1" applyProtection="1">
      <alignment horizontal="center" vertical="center" wrapText="1"/>
      <protection hidden="1"/>
    </xf>
    <xf numFmtId="0" fontId="17" fillId="0" borderId="8" xfId="0" applyFont="1" applyFill="1" applyBorder="1" applyAlignment="1" applyProtection="1">
      <alignment horizontal="center" vertical="center" wrapText="1"/>
      <protection hidden="1"/>
    </xf>
    <xf numFmtId="173" fontId="35" fillId="0" borderId="1" xfId="0" applyNumberFormat="1" applyFont="1" applyBorder="1" applyAlignment="1" applyProtection="1">
      <alignment horizontal="center" vertical="center" wrapText="1"/>
      <protection hidden="1"/>
    </xf>
    <xf numFmtId="172" fontId="35" fillId="0" borderId="1" xfId="0" applyNumberFormat="1" applyFont="1" applyBorder="1" applyAlignment="1" applyProtection="1">
      <alignment horizontal="center" vertical="center" wrapText="1"/>
      <protection hidden="1"/>
    </xf>
    <xf numFmtId="0" fontId="23" fillId="0" borderId="31" xfId="0" applyFont="1" applyBorder="1" applyAlignment="1" applyProtection="1">
      <alignment horizontal="left" vertical="center" wrapText="1"/>
      <protection hidden="1"/>
    </xf>
    <xf numFmtId="0" fontId="23" fillId="0" borderId="9" xfId="0" applyFont="1" applyBorder="1" applyAlignment="1" applyProtection="1">
      <alignment horizontal="left" vertical="center" wrapText="1"/>
      <protection hidden="1"/>
    </xf>
    <xf numFmtId="0" fontId="68" fillId="0" borderId="11" xfId="0" applyFont="1" applyFill="1" applyBorder="1" applyAlignment="1" applyProtection="1">
      <alignment horizontal="center" vertical="center" wrapText="1"/>
      <protection hidden="1"/>
    </xf>
    <xf numFmtId="0" fontId="68" fillId="0" borderId="14" xfId="0" applyFont="1" applyFill="1" applyBorder="1" applyAlignment="1" applyProtection="1">
      <alignment horizontal="center" vertical="center" wrapText="1"/>
      <protection hidden="1"/>
    </xf>
    <xf numFmtId="1" fontId="68" fillId="0" borderId="9" xfId="0" applyNumberFormat="1" applyFont="1" applyBorder="1" applyAlignment="1" applyProtection="1">
      <alignment horizontal="center" vertical="center" wrapText="1"/>
      <protection hidden="1"/>
    </xf>
    <xf numFmtId="0" fontId="68" fillId="0" borderId="9" xfId="0" applyFont="1" applyBorder="1" applyAlignment="1" applyProtection="1">
      <alignment horizontal="center" vertical="center" wrapText="1"/>
      <protection hidden="1"/>
    </xf>
    <xf numFmtId="0" fontId="68" fillId="0" borderId="33" xfId="0" applyFont="1" applyBorder="1" applyAlignment="1" applyProtection="1">
      <alignment horizontal="center" vertical="center" wrapText="1"/>
      <protection hidden="1"/>
    </xf>
    <xf numFmtId="0" fontId="23" fillId="0" borderId="41" xfId="0" applyFont="1" applyBorder="1" applyAlignment="1" applyProtection="1">
      <alignment horizontal="left" vertical="center" wrapText="1"/>
      <protection hidden="1"/>
    </xf>
    <xf numFmtId="0" fontId="23" fillId="0" borderId="42" xfId="0" applyFont="1" applyBorder="1" applyAlignment="1" applyProtection="1">
      <alignment horizontal="left" vertical="center" wrapText="1"/>
      <protection hidden="1"/>
    </xf>
    <xf numFmtId="0" fontId="68" fillId="0" borderId="53" xfId="0" applyFont="1" applyFill="1" applyBorder="1" applyAlignment="1" applyProtection="1">
      <alignment horizontal="center" vertical="center" wrapText="1"/>
      <protection hidden="1"/>
    </xf>
    <xf numFmtId="0" fontId="68" fillId="0" borderId="55" xfId="0" applyFont="1" applyFill="1" applyBorder="1" applyAlignment="1" applyProtection="1">
      <alignment horizontal="center" vertical="center" wrapText="1"/>
      <protection hidden="1"/>
    </xf>
    <xf numFmtId="1" fontId="68" fillId="0" borderId="53" xfId="0" applyNumberFormat="1" applyFont="1" applyFill="1" applyBorder="1" applyAlignment="1" applyProtection="1">
      <alignment horizontal="center" vertical="center" wrapText="1"/>
      <protection hidden="1"/>
    </xf>
    <xf numFmtId="1" fontId="68" fillId="0" borderId="55" xfId="0" applyNumberFormat="1" applyFont="1" applyFill="1" applyBorder="1" applyAlignment="1" applyProtection="1">
      <alignment horizontal="center" vertical="center" wrapText="1"/>
      <protection hidden="1"/>
    </xf>
    <xf numFmtId="0" fontId="68" fillId="0" borderId="42" xfId="0" applyFont="1" applyFill="1" applyBorder="1" applyAlignment="1" applyProtection="1">
      <alignment horizontal="center" vertical="center" wrapText="1"/>
      <protection hidden="1"/>
    </xf>
    <xf numFmtId="0" fontId="68" fillId="0" borderId="36" xfId="0" applyFont="1" applyFill="1" applyBorder="1" applyAlignment="1" applyProtection="1">
      <alignment horizontal="center" vertical="center" wrapText="1"/>
      <protection hidden="1"/>
    </xf>
    <xf numFmtId="0" fontId="23" fillId="0" borderId="38" xfId="0" applyFont="1" applyBorder="1" applyAlignment="1" applyProtection="1">
      <alignment horizontal="left" vertical="center" wrapText="1"/>
      <protection hidden="1"/>
    </xf>
    <xf numFmtId="0" fontId="23" fillId="0" borderId="39" xfId="0" applyFont="1" applyBorder="1" applyAlignment="1" applyProtection="1">
      <alignment horizontal="left" vertical="center" wrapText="1"/>
      <protection hidden="1"/>
    </xf>
    <xf numFmtId="0" fontId="68" fillId="0" borderId="30" xfId="0" applyFont="1" applyFill="1" applyBorder="1" applyAlignment="1" applyProtection="1">
      <alignment horizontal="center" vertical="center" wrapText="1"/>
      <protection hidden="1"/>
    </xf>
    <xf numFmtId="0" fontId="68" fillId="0" borderId="46" xfId="0" applyFont="1" applyFill="1" applyBorder="1" applyAlignment="1" applyProtection="1">
      <alignment horizontal="center" vertical="center" wrapText="1"/>
      <protection hidden="1"/>
    </xf>
    <xf numFmtId="14" fontId="68" fillId="0" borderId="39" xfId="0" applyNumberFormat="1" applyFont="1" applyBorder="1" applyAlignment="1" applyProtection="1">
      <alignment horizontal="center" vertical="center" wrapText="1"/>
      <protection hidden="1"/>
    </xf>
    <xf numFmtId="0" fontId="68" fillId="0" borderId="39" xfId="0" applyFont="1" applyBorder="1" applyAlignment="1" applyProtection="1">
      <alignment horizontal="center" vertical="center" wrapText="1"/>
      <protection hidden="1"/>
    </xf>
    <xf numFmtId="0" fontId="68" fillId="0" borderId="40" xfId="0" applyFont="1" applyBorder="1" applyAlignment="1" applyProtection="1">
      <alignment horizontal="center" vertical="center" wrapText="1"/>
      <protection hidden="1"/>
    </xf>
    <xf numFmtId="0" fontId="23" fillId="0" borderId="5" xfId="0" applyFont="1" applyBorder="1" applyAlignment="1" applyProtection="1">
      <alignment horizontal="left" vertical="center" wrapText="1"/>
      <protection hidden="1"/>
    </xf>
    <xf numFmtId="0" fontId="17" fillId="0" borderId="7" xfId="0" applyFont="1" applyFill="1" applyBorder="1" applyAlignment="1" applyProtection="1">
      <alignment horizontal="center" vertical="center" wrapText="1"/>
      <protection hidden="1"/>
    </xf>
    <xf numFmtId="183" fontId="65" fillId="0" borderId="2" xfId="0" applyNumberFormat="1" applyFont="1" applyFill="1" applyBorder="1" applyAlignment="1" applyProtection="1">
      <alignment horizontal="center" vertical="center" wrapText="1"/>
      <protection hidden="1"/>
    </xf>
    <xf numFmtId="183" fontId="65" fillId="0" borderId="4" xfId="0" applyNumberFormat="1" applyFont="1" applyFill="1" applyBorder="1" applyAlignment="1" applyProtection="1">
      <alignment horizontal="center" vertical="center" wrapText="1"/>
      <protection hidden="1"/>
    </xf>
    <xf numFmtId="183" fontId="65" fillId="0" borderId="10" xfId="0" applyNumberFormat="1" applyFont="1" applyFill="1" applyBorder="1" applyAlignment="1" applyProtection="1">
      <alignment horizontal="center" vertical="center" wrapText="1"/>
      <protection hidden="1"/>
    </xf>
    <xf numFmtId="183" fontId="65" fillId="0" borderId="47" xfId="0" applyNumberFormat="1" applyFont="1" applyFill="1" applyBorder="1" applyAlignment="1" applyProtection="1">
      <alignment horizontal="center" vertical="center" wrapText="1"/>
      <protection hidden="1"/>
    </xf>
    <xf numFmtId="183" fontId="65" fillId="0" borderId="45" xfId="0" applyNumberFormat="1" applyFont="1" applyFill="1" applyBorder="1" applyAlignment="1" applyProtection="1">
      <alignment horizontal="center" vertical="center" wrapText="1"/>
      <protection hidden="1"/>
    </xf>
    <xf numFmtId="183" fontId="65" fillId="0" borderId="37" xfId="0" applyNumberFormat="1" applyFont="1" applyFill="1" applyBorder="1" applyAlignment="1" applyProtection="1">
      <alignment horizontal="center" vertical="center" wrapText="1"/>
      <protection hidden="1"/>
    </xf>
    <xf numFmtId="177" fontId="68" fillId="0" borderId="3" xfId="0" applyNumberFormat="1" applyFont="1" applyFill="1" applyBorder="1" applyAlignment="1" applyProtection="1">
      <alignment horizontal="center" vertical="center" wrapText="1"/>
      <protection hidden="1"/>
    </xf>
    <xf numFmtId="0" fontId="64" fillId="0" borderId="69" xfId="0" applyFont="1" applyFill="1" applyBorder="1" applyAlignment="1" applyProtection="1">
      <alignment horizontal="center" vertical="center" wrapText="1"/>
      <protection hidden="1"/>
    </xf>
    <xf numFmtId="0" fontId="64" fillId="0" borderId="68" xfId="0" applyFont="1" applyFill="1" applyBorder="1" applyAlignment="1" applyProtection="1">
      <alignment horizontal="center" vertical="center" wrapText="1"/>
      <protection hidden="1"/>
    </xf>
    <xf numFmtId="0" fontId="64" fillId="0" borderId="48" xfId="0" applyFont="1" applyFill="1" applyBorder="1" applyAlignment="1" applyProtection="1">
      <alignment horizontal="center" vertical="center" wrapText="1"/>
      <protection hidden="1"/>
    </xf>
    <xf numFmtId="165" fontId="68" fillId="0" borderId="8" xfId="0" applyNumberFormat="1" applyFont="1" applyFill="1" applyBorder="1" applyAlignment="1" applyProtection="1">
      <alignment horizontal="center" vertical="center" wrapText="1"/>
      <protection hidden="1"/>
    </xf>
    <xf numFmtId="165" fontId="68" fillId="0" borderId="1" xfId="0" applyNumberFormat="1" applyFont="1" applyFill="1" applyBorder="1" applyAlignment="1" applyProtection="1">
      <alignment horizontal="center" vertical="center" wrapText="1"/>
      <protection hidden="1"/>
    </xf>
    <xf numFmtId="0" fontId="36" fillId="2" borderId="0" xfId="0" applyFont="1" applyFill="1" applyAlignment="1" applyProtection="1">
      <alignment horizontal="justify" vertical="justify" wrapText="1"/>
      <protection hidden="1"/>
    </xf>
    <xf numFmtId="1" fontId="57" fillId="2" borderId="0" xfId="0" applyNumberFormat="1" applyFont="1" applyFill="1" applyAlignment="1" applyProtection="1">
      <alignment horizontal="left" vertical="center" wrapText="1"/>
      <protection hidden="1"/>
    </xf>
    <xf numFmtId="0" fontId="57" fillId="2" borderId="0" xfId="0" applyFont="1" applyFill="1" applyAlignment="1" applyProtection="1">
      <alignment horizontal="left" vertical="center" wrapText="1"/>
      <protection hidden="1"/>
    </xf>
    <xf numFmtId="0" fontId="15" fillId="0" borderId="0" xfId="0" applyFont="1" applyFill="1" applyAlignment="1" applyProtection="1">
      <alignment horizontal="left" vertical="center" wrapText="1"/>
      <protection hidden="1"/>
    </xf>
    <xf numFmtId="0" fontId="15" fillId="0" borderId="0" xfId="0" applyFont="1" applyAlignment="1" applyProtection="1">
      <alignment horizontal="left" vertical="center" wrapText="1"/>
      <protection hidden="1"/>
    </xf>
    <xf numFmtId="0" fontId="44" fillId="0" borderId="0" xfId="0" applyFont="1" applyFill="1" applyBorder="1" applyAlignment="1" applyProtection="1">
      <alignment horizontal="center" wrapText="1"/>
      <protection hidden="1"/>
    </xf>
    <xf numFmtId="166" fontId="68" fillId="0" borderId="8" xfId="0" applyNumberFormat="1" applyFont="1" applyFill="1" applyBorder="1" applyAlignment="1" applyProtection="1">
      <alignment horizontal="center" vertical="center" wrapText="1"/>
      <protection hidden="1"/>
    </xf>
    <xf numFmtId="166" fontId="68" fillId="0" borderId="1" xfId="0" applyNumberFormat="1" applyFont="1" applyFill="1" applyBorder="1" applyAlignment="1" applyProtection="1">
      <alignment horizontal="center" vertical="center" wrapText="1"/>
      <protection hidden="1"/>
    </xf>
    <xf numFmtId="183" fontId="23" fillId="0" borderId="2" xfId="0" applyNumberFormat="1" applyFont="1" applyFill="1" applyBorder="1" applyAlignment="1" applyProtection="1">
      <alignment horizontal="center" vertical="center" wrapText="1"/>
      <protection hidden="1"/>
    </xf>
    <xf numFmtId="183" fontId="23" fillId="0" borderId="4" xfId="0" applyNumberFormat="1" applyFont="1" applyFill="1" applyBorder="1" applyAlignment="1" applyProtection="1">
      <alignment horizontal="center" vertical="center" wrapText="1"/>
      <protection hidden="1"/>
    </xf>
    <xf numFmtId="183" fontId="23" fillId="0" borderId="10" xfId="0" applyNumberFormat="1" applyFont="1" applyFill="1" applyBorder="1" applyAlignment="1" applyProtection="1">
      <alignment horizontal="center" vertical="center" wrapText="1"/>
      <protection hidden="1"/>
    </xf>
    <xf numFmtId="183" fontId="23" fillId="0" borderId="47" xfId="0" applyNumberFormat="1" applyFont="1" applyFill="1" applyBorder="1" applyAlignment="1" applyProtection="1">
      <alignment horizontal="center" vertical="center" wrapText="1"/>
      <protection hidden="1"/>
    </xf>
    <xf numFmtId="183" fontId="23" fillId="0" borderId="45" xfId="0" applyNumberFormat="1" applyFont="1" applyFill="1" applyBorder="1" applyAlignment="1" applyProtection="1">
      <alignment horizontal="center" vertical="center" wrapText="1"/>
      <protection hidden="1"/>
    </xf>
    <xf numFmtId="183" fontId="23" fillId="0" borderId="37" xfId="0" applyNumberFormat="1" applyFont="1" applyFill="1" applyBorder="1" applyAlignment="1" applyProtection="1">
      <alignment horizontal="center" vertical="center" wrapText="1"/>
      <protection hidden="1"/>
    </xf>
    <xf numFmtId="0" fontId="64" fillId="0" borderId="69" xfId="0" applyFont="1" applyFill="1" applyBorder="1" applyAlignment="1" applyProtection="1">
      <alignment horizontal="center" vertical="center"/>
      <protection hidden="1"/>
    </xf>
    <xf numFmtId="0" fontId="64" fillId="0" borderId="68" xfId="0" applyFont="1" applyFill="1" applyBorder="1" applyAlignment="1" applyProtection="1">
      <alignment horizontal="center" vertical="center"/>
      <protection hidden="1"/>
    </xf>
    <xf numFmtId="0" fontId="64" fillId="0" borderId="48" xfId="0" applyFont="1" applyFill="1" applyBorder="1" applyAlignment="1" applyProtection="1">
      <alignment horizontal="center" vertical="center"/>
      <protection hidden="1"/>
    </xf>
    <xf numFmtId="0" fontId="36" fillId="2" borderId="0" xfId="0" applyFont="1" applyFill="1" applyBorder="1" applyAlignment="1" applyProtection="1">
      <alignment horizontal="justify" vertical="center" wrapText="1"/>
      <protection hidden="1"/>
    </xf>
    <xf numFmtId="0" fontId="14" fillId="0" borderId="0" xfId="0" applyFont="1" applyFill="1" applyBorder="1" applyAlignment="1" applyProtection="1">
      <alignment horizontal="center" vertical="center" wrapText="1"/>
      <protection hidden="1"/>
    </xf>
    <xf numFmtId="0" fontId="15" fillId="0" borderId="0" xfId="0" applyFont="1" applyFill="1" applyBorder="1" applyAlignment="1" applyProtection="1">
      <alignment horizontal="left" vertical="center" wrapText="1"/>
      <protection hidden="1"/>
    </xf>
    <xf numFmtId="0" fontId="35" fillId="0" borderId="0" xfId="0" applyFont="1" applyAlignment="1" applyProtection="1">
      <alignment horizontal="right"/>
      <protection hidden="1"/>
    </xf>
    <xf numFmtId="169" fontId="35" fillId="0" borderId="0" xfId="0" applyNumberFormat="1" applyFont="1" applyAlignment="1" applyProtection="1">
      <alignment horizontal="left"/>
      <protection hidden="1"/>
    </xf>
    <xf numFmtId="0" fontId="35" fillId="0" borderId="0" xfId="0" applyFont="1" applyFill="1" applyAlignment="1" applyProtection="1">
      <alignment horizontal="right"/>
      <protection hidden="1"/>
    </xf>
    <xf numFmtId="0" fontId="15" fillId="0" borderId="0" xfId="0" applyFont="1" applyAlignment="1" applyProtection="1">
      <alignment horizontal="center" vertical="center" wrapText="1"/>
      <protection hidden="1"/>
    </xf>
    <xf numFmtId="0" fontId="15" fillId="0" borderId="0" xfId="0" applyFont="1" applyAlignment="1" applyProtection="1">
      <alignment horizontal="right" vertical="center" wrapText="1"/>
      <protection hidden="1"/>
    </xf>
    <xf numFmtId="0" fontId="35" fillId="0" borderId="79" xfId="0" applyFont="1" applyBorder="1" applyAlignment="1" applyProtection="1">
      <alignment horizontal="center"/>
      <protection hidden="1"/>
    </xf>
    <xf numFmtId="0" fontId="35" fillId="0" borderId="0" xfId="0" applyFont="1" applyAlignment="1" applyProtection="1">
      <alignment horizontal="center" vertical="center"/>
      <protection hidden="1"/>
    </xf>
    <xf numFmtId="0" fontId="35" fillId="0" borderId="0" xfId="0" applyFont="1" applyFill="1" applyAlignment="1" applyProtection="1">
      <alignment horizontal="center"/>
      <protection hidden="1"/>
    </xf>
    <xf numFmtId="0" fontId="15" fillId="0" borderId="0" xfId="0" applyFont="1" applyAlignment="1" applyProtection="1">
      <alignment horizontal="center"/>
      <protection hidden="1"/>
    </xf>
    <xf numFmtId="0" fontId="36" fillId="2" borderId="0" xfId="0" applyFont="1" applyFill="1" applyBorder="1" applyAlignment="1" applyProtection="1">
      <alignment horizontal="left" vertical="center" wrapText="1"/>
      <protection hidden="1"/>
    </xf>
    <xf numFmtId="0" fontId="35" fillId="0" borderId="13" xfId="0" applyFont="1" applyBorder="1" applyAlignment="1" applyProtection="1">
      <alignment horizontal="center"/>
      <protection hidden="1"/>
    </xf>
    <xf numFmtId="0" fontId="3" fillId="0" borderId="9" xfId="0" applyFont="1" applyBorder="1" applyAlignment="1">
      <alignment horizontal="center" vertical="center" wrapText="1"/>
    </xf>
    <xf numFmtId="0" fontId="7" fillId="0" borderId="9" xfId="0" applyFont="1" applyBorder="1" applyAlignment="1">
      <alignment horizontal="center" vertical="center" wrapText="1"/>
    </xf>
    <xf numFmtId="0" fontId="7" fillId="5" borderId="6" xfId="0" applyFont="1" applyFill="1" applyBorder="1" applyAlignment="1">
      <alignment horizontal="center" vertical="center" wrapText="1"/>
    </xf>
    <xf numFmtId="0" fontId="7" fillId="5" borderId="8" xfId="0" applyFont="1" applyFill="1" applyBorder="1" applyAlignment="1">
      <alignment horizontal="center" vertical="center" wrapText="1"/>
    </xf>
    <xf numFmtId="0" fontId="7" fillId="5" borderId="18" xfId="0" applyFont="1" applyFill="1" applyBorder="1" applyAlignment="1">
      <alignment horizontal="center" vertical="center" wrapText="1"/>
    </xf>
    <xf numFmtId="0" fontId="7" fillId="5" borderId="19" xfId="0" applyFont="1" applyFill="1" applyBorder="1" applyAlignment="1">
      <alignment horizontal="center" vertical="center" wrapText="1"/>
    </xf>
    <xf numFmtId="0" fontId="7" fillId="5" borderId="18" xfId="0" applyFont="1" applyFill="1" applyBorder="1" applyAlignment="1">
      <alignment horizontal="center" wrapText="1"/>
    </xf>
    <xf numFmtId="0" fontId="7" fillId="5" borderId="21" xfId="0" applyFont="1" applyFill="1" applyBorder="1" applyAlignment="1">
      <alignment horizontal="center" wrapText="1"/>
    </xf>
    <xf numFmtId="0" fontId="7" fillId="5" borderId="19" xfId="0" applyFont="1" applyFill="1" applyBorder="1" applyAlignment="1">
      <alignment horizontal="center" wrapText="1"/>
    </xf>
    <xf numFmtId="0" fontId="7" fillId="5" borderId="2"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3" fillId="32" borderId="54" xfId="0" applyFont="1" applyFill="1" applyBorder="1" applyAlignment="1">
      <alignment horizontal="center"/>
    </xf>
    <xf numFmtId="0" fontId="3" fillId="32" borderId="60" xfId="0" applyFont="1" applyFill="1" applyBorder="1" applyAlignment="1">
      <alignment horizontal="center"/>
    </xf>
    <xf numFmtId="0" fontId="3" fillId="32" borderId="59" xfId="0" applyFont="1" applyFill="1" applyBorder="1" applyAlignment="1">
      <alignment horizontal="center"/>
    </xf>
    <xf numFmtId="0" fontId="3" fillId="32" borderId="45" xfId="0" applyFont="1" applyFill="1" applyBorder="1" applyAlignment="1">
      <alignment horizontal="center" vertical="center"/>
    </xf>
    <xf numFmtId="0" fontId="3" fillId="32" borderId="5" xfId="0" applyFont="1" applyFill="1" applyBorder="1" applyAlignment="1">
      <alignment horizontal="center" vertical="center"/>
    </xf>
    <xf numFmtId="0" fontId="3" fillId="32" borderId="37" xfId="0" applyFont="1" applyFill="1" applyBorder="1" applyAlignment="1">
      <alignment horizontal="center" vertical="center"/>
    </xf>
  </cellXfs>
  <cellStyles count="13">
    <cellStyle name="Buena 2" xfId="8" xr:uid="{00000000-0005-0000-0000-000001000000}"/>
    <cellStyle name="Bueno" xfId="1" builtinId="26"/>
    <cellStyle name="Estilo 1" xfId="2" xr:uid="{00000000-0005-0000-0000-000002000000}"/>
    <cellStyle name="Estilo 1 2" xfId="9" xr:uid="{00000000-0005-0000-0000-000003000000}"/>
    <cellStyle name="Estilo 2" xfId="3" xr:uid="{00000000-0005-0000-0000-000004000000}"/>
    <cellStyle name="Estilo 2 2" xfId="10" xr:uid="{00000000-0005-0000-0000-000005000000}"/>
    <cellStyle name="Estilo 3" xfId="4" xr:uid="{00000000-0005-0000-0000-000006000000}"/>
    <cellStyle name="Estilo 4" xfId="5" xr:uid="{00000000-0005-0000-0000-000007000000}"/>
    <cellStyle name="Estilo 5" xfId="6" xr:uid="{00000000-0005-0000-0000-000008000000}"/>
    <cellStyle name="Estilo 6" xfId="7" xr:uid="{00000000-0005-0000-0000-000009000000}"/>
    <cellStyle name="Normal" xfId="0" builtinId="0"/>
    <cellStyle name="Normal_Hoja4" xfId="12" xr:uid="{00000000-0005-0000-0000-00000B000000}"/>
    <cellStyle name="Porcentaje" xfId="11" builtinId="5"/>
  </cellStyles>
  <dxfs count="8">
    <dxf>
      <font>
        <b/>
        <i val="0"/>
        <color auto="1"/>
      </font>
      <fill>
        <patternFill>
          <bgColor rgb="FFFFC7CE"/>
        </patternFill>
      </fill>
    </dxf>
    <dxf>
      <font>
        <b/>
        <i val="0"/>
      </font>
    </dxf>
    <dxf>
      <font>
        <b/>
        <i val="0"/>
        <color auto="1"/>
      </font>
      <fill>
        <patternFill>
          <bgColor rgb="FFFFC7CE"/>
        </patternFill>
      </fill>
    </dxf>
    <dxf>
      <font>
        <b/>
        <i val="0"/>
      </font>
    </dxf>
    <dxf>
      <fill>
        <patternFill>
          <bgColor rgb="FFFF0000"/>
        </patternFill>
      </fill>
    </dxf>
    <dxf>
      <fill>
        <patternFill>
          <bgColor rgb="FF92D050"/>
        </patternFill>
      </fill>
    </dxf>
    <dxf>
      <fill>
        <patternFill>
          <bgColor rgb="FFFF0000"/>
        </patternFill>
      </fill>
    </dxf>
    <dxf>
      <fill>
        <patternFill>
          <bgColor rgb="FF92D050"/>
        </patternFill>
      </fill>
    </dxf>
  </dxfs>
  <tableStyles count="1" defaultTableStyle="TableStyleMedium2" defaultPivotStyle="PivotStyleLight16">
    <tableStyle name="Invisible" pivot="0" table="0" count="0" xr9:uid="{00000000-0011-0000-FFFF-FFFF00000000}"/>
  </tableStyles>
  <colors>
    <mruColors>
      <color rgb="FF91C6F7"/>
      <color rgb="FFDDEBF7"/>
      <color rgb="FFFF9999"/>
      <color rgb="FF0070C0"/>
      <color rgb="FFC8E2FB"/>
      <color rgb="FF81B0E4"/>
      <color rgb="FF9BC2E6"/>
      <color rgb="FFFF0000"/>
      <color rgb="FF538DD5"/>
      <color rgb="FFAFDF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&amp;'!$F$56:$F$58</c:f>
              <c:numCache>
                <c:formatCode>General</c:formatCode>
                <c:ptCount val="3"/>
                <c:pt idx="0">
                  <c:v>15.3</c:v>
                </c:pt>
                <c:pt idx="1">
                  <c:v>24.7</c:v>
                </c:pt>
                <c:pt idx="2" formatCode="0.0">
                  <c:v>29.5</c:v>
                </c:pt>
              </c:numCache>
            </c:numRef>
          </c:xVal>
          <c:yVal>
            <c:numRef>
              <c:f>'DATOS &amp;'!$H$56:$H$58</c:f>
              <c:numCache>
                <c:formatCode>0.0</c:formatCode>
                <c:ptCount val="3"/>
                <c:pt idx="0">
                  <c:v>0</c:v>
                </c:pt>
                <c:pt idx="1">
                  <c:v>0</c:v>
                </c:pt>
                <c:pt idx="2">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79986432"/>
        <c:axId val="179987968"/>
      </c:scatterChart>
      <c:valAx>
        <c:axId val="17998643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9987968"/>
        <c:crosses val="autoZero"/>
        <c:crossBetween val="midCat"/>
      </c:valAx>
      <c:valAx>
        <c:axId val="17998796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998643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&amp;'!$A$89</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&amp;'!$F$89:$F$91</c:f>
              <c:numCache>
                <c:formatCode>General</c:formatCode>
                <c:ptCount val="3"/>
                <c:pt idx="0">
                  <c:v>15.2</c:v>
                </c:pt>
                <c:pt idx="1">
                  <c:v>24.8</c:v>
                </c:pt>
                <c:pt idx="2" formatCode="0.0">
                  <c:v>29.8</c:v>
                </c:pt>
              </c:numCache>
            </c:numRef>
          </c:xVal>
          <c:yVal>
            <c:numRef>
              <c:f>'DATOS &amp;'!$H$89:$H$91</c:f>
              <c:numCache>
                <c:formatCode>0.0</c:formatCode>
                <c:ptCount val="3"/>
                <c:pt idx="0">
                  <c:v>0</c:v>
                </c:pt>
                <c:pt idx="1">
                  <c:v>0</c:v>
                </c:pt>
                <c:pt idx="2">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202846976"/>
        <c:axId val="202848512"/>
      </c:scatterChart>
      <c:valAx>
        <c:axId val="20284697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848512"/>
        <c:crosses val="autoZero"/>
        <c:crossBetween val="midCat"/>
      </c:valAx>
      <c:valAx>
        <c:axId val="20284851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84697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&amp;'!$A$92</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&amp;'!$F$92:$F$94</c:f>
              <c:numCache>
                <c:formatCode>General</c:formatCode>
                <c:ptCount val="3"/>
                <c:pt idx="0">
                  <c:v>32.9</c:v>
                </c:pt>
                <c:pt idx="1">
                  <c:v>51.2</c:v>
                </c:pt>
                <c:pt idx="2">
                  <c:v>77.599999999999994</c:v>
                </c:pt>
              </c:numCache>
            </c:numRef>
          </c:xVal>
          <c:yVal>
            <c:numRef>
              <c:f>'DATOS &amp;'!$H$92:$H$94</c:f>
              <c:numCache>
                <c:formatCode>General</c:formatCode>
                <c:ptCount val="3"/>
                <c:pt idx="0">
                  <c:v>-3</c:v>
                </c:pt>
                <c:pt idx="1">
                  <c:v>-1.2</c:v>
                </c:pt>
                <c:pt idx="2">
                  <c:v>2.4</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202887168"/>
        <c:axId val="202888704"/>
      </c:scatterChart>
      <c:valAx>
        <c:axId val="20288716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888704"/>
        <c:crosses val="autoZero"/>
        <c:crossBetween val="midCat"/>
      </c:valAx>
      <c:valAx>
        <c:axId val="20288870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88716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&amp;'!$A$95</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&amp;'!$F$95:$F$97</c:f>
              <c:numCache>
                <c:formatCode>0.000</c:formatCode>
                <c:ptCount val="3"/>
                <c:pt idx="0" formatCode="General">
                  <c:v>598.11699999999996</c:v>
                </c:pt>
                <c:pt idx="1">
                  <c:v>752.82</c:v>
                </c:pt>
                <c:pt idx="2">
                  <c:v>848.553</c:v>
                </c:pt>
              </c:numCache>
            </c:numRef>
          </c:xVal>
          <c:yVal>
            <c:numRef>
              <c:f>'DATOS &amp;'!$H$95:$H$97</c:f>
              <c:numCache>
                <c:formatCode>0.00</c:formatCode>
                <c:ptCount val="3"/>
                <c:pt idx="0" formatCode="General">
                  <c:v>1.4450000000000001</c:v>
                </c:pt>
                <c:pt idx="1">
                  <c:v>0.95399999999999996</c:v>
                </c:pt>
                <c:pt idx="2" formatCode="General">
                  <c:v>0.70399999999999996</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202943488"/>
        <c:axId val="202961664"/>
      </c:scatterChart>
      <c:valAx>
        <c:axId val="20294348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961664"/>
        <c:crosses val="autoZero"/>
        <c:crossBetween val="midCat"/>
      </c:valAx>
      <c:valAx>
        <c:axId val="20296166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94348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&amp;'!$A$100</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&amp;'!$F$100:$F$102</c:f>
              <c:numCache>
                <c:formatCode>0.0</c:formatCode>
                <c:ptCount val="3"/>
                <c:pt idx="0" formatCode="General">
                  <c:v>15.1</c:v>
                </c:pt>
                <c:pt idx="1">
                  <c:v>24.8</c:v>
                </c:pt>
                <c:pt idx="2">
                  <c:v>29.7</c:v>
                </c:pt>
              </c:numCache>
            </c:numRef>
          </c:xVal>
          <c:yVal>
            <c:numRef>
              <c:f>'DATOS &amp;'!$H$100:$H$102</c:f>
              <c:numCache>
                <c:formatCode>0.0</c:formatCode>
                <c:ptCount val="3"/>
                <c:pt idx="0">
                  <c:v>0.2</c:v>
                </c:pt>
                <c:pt idx="1">
                  <c:v>-0.1</c:v>
                </c:pt>
                <c:pt idx="2">
                  <c:v>-0.3</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202082560"/>
        <c:axId val="202088448"/>
      </c:scatterChart>
      <c:valAx>
        <c:axId val="20208256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088448"/>
        <c:crosses val="autoZero"/>
        <c:crossBetween val="midCat"/>
      </c:valAx>
      <c:valAx>
        <c:axId val="20208844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08256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&amp;'!$A$103</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&amp;'!$F$103:$F$105</c:f>
              <c:numCache>
                <c:formatCode>General</c:formatCode>
                <c:ptCount val="3"/>
                <c:pt idx="0">
                  <c:v>33.200000000000003</c:v>
                </c:pt>
                <c:pt idx="1">
                  <c:v>51.4</c:v>
                </c:pt>
                <c:pt idx="2">
                  <c:v>77.599999999999994</c:v>
                </c:pt>
              </c:numCache>
            </c:numRef>
          </c:xVal>
          <c:yVal>
            <c:numRef>
              <c:f>'DATOS &amp;'!$H$103:$H$105</c:f>
              <c:numCache>
                <c:formatCode>General</c:formatCode>
                <c:ptCount val="3"/>
                <c:pt idx="0">
                  <c:v>-3.2</c:v>
                </c:pt>
                <c:pt idx="1">
                  <c:v>-1.5</c:v>
                </c:pt>
                <c:pt idx="2">
                  <c:v>2.5</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202192384"/>
        <c:axId val="202193920"/>
      </c:scatterChart>
      <c:valAx>
        <c:axId val="20219238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193920"/>
        <c:crosses val="autoZero"/>
        <c:crossBetween val="midCat"/>
      </c:valAx>
      <c:valAx>
        <c:axId val="20219392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19238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&amp;'!$A$106</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&amp;'!$F$106:$F$108</c:f>
              <c:numCache>
                <c:formatCode>General</c:formatCode>
                <c:ptCount val="3"/>
                <c:pt idx="0" formatCode="0.000">
                  <c:v>598.08199999999999</c:v>
                </c:pt>
                <c:pt idx="1">
                  <c:v>752.79499999999996</c:v>
                </c:pt>
                <c:pt idx="2" formatCode="0.000">
                  <c:v>848.6</c:v>
                </c:pt>
              </c:numCache>
            </c:numRef>
          </c:xVal>
          <c:yVal>
            <c:numRef>
              <c:f>'DATOS &amp;'!$H$106:$H$108</c:f>
              <c:numCache>
                <c:formatCode>0.000</c:formatCode>
                <c:ptCount val="3"/>
                <c:pt idx="0" formatCode="General">
                  <c:v>1.4830000000000001</c:v>
                </c:pt>
                <c:pt idx="1">
                  <c:v>0.97299999999999998</c:v>
                </c:pt>
                <c:pt idx="2" formatCode="General">
                  <c:v>0.65600000000000003</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202121984"/>
        <c:axId val="202123520"/>
      </c:scatterChart>
      <c:valAx>
        <c:axId val="20212198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123520"/>
        <c:crosses val="autoZero"/>
        <c:crossBetween val="midCat"/>
      </c:valAx>
      <c:valAx>
        <c:axId val="20212352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12198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&amp;'!$B$44</c:f>
              <c:strCache>
                <c:ptCount val="1"/>
                <c:pt idx="0">
                  <c:v>Termómetro utilizado en el liquido del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&amp;'!$F$44:$F$48</c:f>
              <c:numCache>
                <c:formatCode>0.000</c:formatCode>
                <c:ptCount val="5"/>
                <c:pt idx="0">
                  <c:v>14.031000000000001</c:v>
                </c:pt>
                <c:pt idx="1">
                  <c:v>16.033000000000001</c:v>
                </c:pt>
                <c:pt idx="2">
                  <c:v>17.032</c:v>
                </c:pt>
                <c:pt idx="3" formatCode="General">
                  <c:v>18.027999999999999</c:v>
                </c:pt>
                <c:pt idx="4" formatCode="General">
                  <c:v>22.030999999999999</c:v>
                </c:pt>
              </c:numCache>
            </c:numRef>
          </c:xVal>
          <c:yVal>
            <c:numRef>
              <c:f>'DATOS &amp;'!$H$44:$H$48</c:f>
              <c:numCache>
                <c:formatCode>0.000</c:formatCode>
                <c:ptCount val="5"/>
                <c:pt idx="0" formatCode="General">
                  <c:v>-1.7000000000000001E-2</c:v>
                </c:pt>
                <c:pt idx="1">
                  <c:v>-0.02</c:v>
                </c:pt>
                <c:pt idx="2">
                  <c:v>-2.1000000000000001E-2</c:v>
                </c:pt>
                <c:pt idx="3" formatCode="General">
                  <c:v>-2.1999999999999999E-2</c:v>
                </c:pt>
                <c:pt idx="4" formatCode="General">
                  <c:v>-2.7E-2</c:v>
                </c:pt>
              </c:numCache>
            </c:numRef>
          </c:yVal>
          <c:smooth val="0"/>
          <c:extLs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202244096"/>
        <c:axId val="202245632"/>
      </c:scatterChart>
      <c:valAx>
        <c:axId val="20224409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245632"/>
        <c:crosses val="autoZero"/>
        <c:crossBetween val="midCat"/>
      </c:valAx>
      <c:valAx>
        <c:axId val="20224563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24409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&amp;'!$B$38</c:f>
              <c:strCache>
                <c:ptCount val="1"/>
                <c:pt idx="0">
                  <c:v>Termómetro utilizado en el liquido del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&amp;'!$F$38:$F$42</c:f>
              <c:numCache>
                <c:formatCode>0.000</c:formatCode>
                <c:ptCount val="5"/>
                <c:pt idx="0">
                  <c:v>14.068</c:v>
                </c:pt>
                <c:pt idx="1">
                  <c:v>16.07</c:v>
                </c:pt>
                <c:pt idx="2">
                  <c:v>17.068999999999999</c:v>
                </c:pt>
                <c:pt idx="3" formatCode="General">
                  <c:v>18.065999999999999</c:v>
                </c:pt>
                <c:pt idx="4" formatCode="General">
                  <c:v>22.07</c:v>
                </c:pt>
              </c:numCache>
            </c:numRef>
          </c:xVal>
          <c:yVal>
            <c:numRef>
              <c:f>'DATOS &amp;'!$H$38:$H$42</c:f>
              <c:numCache>
                <c:formatCode>General</c:formatCode>
                <c:ptCount val="5"/>
                <c:pt idx="0">
                  <c:v>-5.3999999999999999E-2</c:v>
                </c:pt>
                <c:pt idx="1">
                  <c:v>-5.7000000000000002E-2</c:v>
                </c:pt>
                <c:pt idx="2">
                  <c:v>-5.8999999999999997E-2</c:v>
                </c:pt>
                <c:pt idx="3">
                  <c:v>-6.0999999999999999E-2</c:v>
                </c:pt>
                <c:pt idx="4">
                  <c:v>-6.7000000000000004E-2</c:v>
                </c:pt>
              </c:numCache>
            </c:numRef>
          </c:yVal>
          <c:smooth val="0"/>
          <c:extLs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202284032"/>
        <c:axId val="202285824"/>
      </c:scatterChart>
      <c:valAx>
        <c:axId val="20228403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285824"/>
        <c:crosses val="autoZero"/>
        <c:crossBetween val="midCat"/>
      </c:valAx>
      <c:valAx>
        <c:axId val="2022858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28403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BALANZA VIBRA</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&amp;'!$B$171:$B$177</c:f>
              <c:strCache>
                <c:ptCount val="7"/>
                <c:pt idx="0">
                  <c:v>balanza digital de 60 kg</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37893411444108266"/>
                  <c:y val="2.5845189527348558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&amp;'!$F$171:$F$180</c:f>
              <c:numCache>
                <c:formatCode>0</c:formatCode>
                <c:ptCount val="10"/>
                <c:pt idx="0">
                  <c:v>5</c:v>
                </c:pt>
                <c:pt idx="1">
                  <c:v>4000</c:v>
                </c:pt>
                <c:pt idx="2">
                  <c:v>8000</c:v>
                </c:pt>
                <c:pt idx="3">
                  <c:v>12000</c:v>
                </c:pt>
                <c:pt idx="4">
                  <c:v>16000</c:v>
                </c:pt>
                <c:pt idx="5">
                  <c:v>20000</c:v>
                </c:pt>
                <c:pt idx="6">
                  <c:v>24000</c:v>
                </c:pt>
                <c:pt idx="7">
                  <c:v>28000</c:v>
                </c:pt>
                <c:pt idx="8">
                  <c:v>30000</c:v>
                </c:pt>
                <c:pt idx="9">
                  <c:v>35000</c:v>
                </c:pt>
              </c:numCache>
            </c:numRef>
          </c:xVal>
          <c:yVal>
            <c:numRef>
              <c:f>'DATOS &amp;'!$H$171:$H$180</c:f>
              <c:numCache>
                <c:formatCode>General</c:formatCode>
                <c:ptCount val="10"/>
                <c:pt idx="0">
                  <c:v>0</c:v>
                </c:pt>
                <c:pt idx="1">
                  <c:v>0.1</c:v>
                </c:pt>
                <c:pt idx="2">
                  <c:v>0.1</c:v>
                </c:pt>
                <c:pt idx="3">
                  <c:v>0.1</c:v>
                </c:pt>
                <c:pt idx="4">
                  <c:v>0.2</c:v>
                </c:pt>
                <c:pt idx="5">
                  <c:v>0.3</c:v>
                </c:pt>
                <c:pt idx="6">
                  <c:v>0.3</c:v>
                </c:pt>
                <c:pt idx="7">
                  <c:v>0.2</c:v>
                </c:pt>
                <c:pt idx="8">
                  <c:v>0.4</c:v>
                </c:pt>
                <c:pt idx="9">
                  <c:v>0.3</c:v>
                </c:pt>
              </c:numCache>
            </c:numRef>
          </c:yVal>
          <c:smooth val="0"/>
          <c:extLst>
            <c:ext xmlns:c16="http://schemas.microsoft.com/office/drawing/2014/chart" uri="{C3380CC4-5D6E-409C-BE32-E72D297353CC}">
              <c16:uniqueId val="{00000002-E55F-4B7D-9FCC-D033C0F5C239}"/>
            </c:ext>
          </c:extLst>
        </c:ser>
        <c:dLbls>
          <c:showLegendKey val="0"/>
          <c:showVal val="0"/>
          <c:showCatName val="0"/>
          <c:showSerName val="0"/>
          <c:showPercent val="0"/>
          <c:showBubbleSize val="0"/>
        </c:dLbls>
        <c:axId val="203431296"/>
        <c:axId val="203449472"/>
      </c:scatterChart>
      <c:valAx>
        <c:axId val="20343129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3449472"/>
        <c:crosses val="autoZero"/>
        <c:crossBetween val="midCat"/>
      </c:valAx>
      <c:valAx>
        <c:axId val="20344947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343129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'RT03-F33 &amp; '!$A$8:$A$12</c:f>
              <c:strCache>
                <c:ptCount val="5"/>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'RT03-F33 &amp; '!$C$8:$C$12</c:f>
              <c:numCache>
                <c:formatCode>0.000</c:formatCode>
                <c:ptCount val="5"/>
                <c:pt idx="0">
                  <c:v>#N/A</c:v>
                </c:pt>
                <c:pt idx="1">
                  <c:v>#N/A</c:v>
                </c:pt>
                <c:pt idx="2">
                  <c:v>#N/A</c:v>
                </c:pt>
                <c:pt idx="3">
                  <c:v>#N/A</c:v>
                </c:pt>
                <c:pt idx="4">
                  <c:v>#N/A</c:v>
                </c:pt>
              </c:numCache>
            </c:numRef>
          </c:xVal>
          <c:yVal>
            <c:numRef>
              <c:f>'RT03-F33 &amp; '!$G$8:$G$12</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201454336"/>
        <c:axId val="201455872"/>
      </c:scatterChart>
      <c:valAx>
        <c:axId val="20145433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1455872"/>
        <c:crosses val="autoZero"/>
        <c:crossBetween val="midCat"/>
      </c:valAx>
      <c:valAx>
        <c:axId val="20145587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145433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&amp;'!$F$59:$F$61</c:f>
              <c:numCache>
                <c:formatCode>0.0</c:formatCode>
                <c:ptCount val="3"/>
                <c:pt idx="0" formatCode="General">
                  <c:v>33.299999999999997</c:v>
                </c:pt>
                <c:pt idx="1">
                  <c:v>51.2</c:v>
                </c:pt>
                <c:pt idx="2" formatCode="General">
                  <c:v>77.099999999999994</c:v>
                </c:pt>
              </c:numCache>
            </c:numRef>
          </c:xVal>
          <c:yVal>
            <c:numRef>
              <c:f>'DATOS &amp;'!$H$59:$H$61</c:f>
              <c:numCache>
                <c:formatCode>0.0</c:formatCode>
                <c:ptCount val="3"/>
                <c:pt idx="0" formatCode="General">
                  <c:v>-3.3</c:v>
                </c:pt>
                <c:pt idx="1">
                  <c:v>-1.3</c:v>
                </c:pt>
                <c:pt idx="2">
                  <c:v>3</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202398720"/>
        <c:axId val="202408704"/>
      </c:scatterChart>
      <c:valAx>
        <c:axId val="20239872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408704"/>
        <c:crosses val="autoZero"/>
        <c:crossBetween val="midCat"/>
      </c:valAx>
      <c:valAx>
        <c:axId val="20240870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39872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Balanza</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'RT03-F33 &amp; '!$A$13:$A$17</c:f>
              <c:strCache>
                <c:ptCount val="5"/>
                <c:pt idx="0">
                  <c:v>INSTRUMENTO DE PESAJE DE FUNCIONAMIENTO NO AUTOMÁTICO-IPFNA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33860144825339084"/>
                  <c:y val="-5.2285788839909225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'RT03-F33 &amp; '!$C$13:$C$22</c:f>
              <c:numCache>
                <c:formatCode>0</c:formatCode>
                <c:ptCount val="10"/>
                <c:pt idx="0">
                  <c:v>#N/A</c:v>
                </c:pt>
                <c:pt idx="1">
                  <c:v>#N/A</c:v>
                </c:pt>
                <c:pt idx="2">
                  <c:v>#N/A</c:v>
                </c:pt>
                <c:pt idx="3">
                  <c:v>#N/A</c:v>
                </c:pt>
                <c:pt idx="4">
                  <c:v>#N/A</c:v>
                </c:pt>
                <c:pt idx="5">
                  <c:v>#N/A</c:v>
                </c:pt>
                <c:pt idx="6">
                  <c:v>#N/A</c:v>
                </c:pt>
                <c:pt idx="7">
                  <c:v>#N/A</c:v>
                </c:pt>
                <c:pt idx="8">
                  <c:v>#N/A</c:v>
                </c:pt>
                <c:pt idx="9">
                  <c:v>#N/A</c:v>
                </c:pt>
              </c:numCache>
            </c:numRef>
          </c:xVal>
          <c:yVal>
            <c:numRef>
              <c:f>'RT03-F33 &amp; '!$G$13:$G$22</c:f>
              <c:numCache>
                <c:formatCode>0.0</c:formatCode>
                <c:ptCount val="10"/>
                <c:pt idx="0">
                  <c:v>#N/A</c:v>
                </c:pt>
                <c:pt idx="1">
                  <c:v>#N/A</c:v>
                </c:pt>
                <c:pt idx="2">
                  <c:v>#N/A</c:v>
                </c:pt>
                <c:pt idx="3">
                  <c:v>#N/A</c:v>
                </c:pt>
                <c:pt idx="4">
                  <c:v>#N/A</c:v>
                </c:pt>
                <c:pt idx="5">
                  <c:v>#N/A</c:v>
                </c:pt>
                <c:pt idx="6">
                  <c:v>#N/A</c:v>
                </c:pt>
                <c:pt idx="7">
                  <c:v>#N/A</c:v>
                </c:pt>
                <c:pt idx="8">
                  <c:v>#N/A</c:v>
                </c:pt>
                <c:pt idx="9">
                  <c:v>#N/A</c:v>
                </c:pt>
              </c:numCache>
            </c:numRef>
          </c:yVal>
          <c:smooth val="0"/>
          <c:extLs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180387840"/>
        <c:axId val="180389376"/>
      </c:scatterChart>
      <c:valAx>
        <c:axId val="18038784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0389376"/>
        <c:crosses val="autoZero"/>
        <c:crossBetween val="midCat"/>
      </c:valAx>
      <c:valAx>
        <c:axId val="18038937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038784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barChart>
        <c:barDir val="col"/>
        <c:grouping val="clustered"/>
        <c:varyColors val="0"/>
        <c:ser>
          <c:idx val="0"/>
          <c:order val="0"/>
          <c:tx>
            <c:strRef>
              <c:f>'RT03-F33 &amp; '!$P$110</c:f>
              <c:strCache>
                <c:ptCount val="1"/>
                <c:pt idx="0">
                  <c:v>Aporte a la Incertidumbre (aire)</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'RT03-F33 &amp; '!$A$112:$A$124</c:f>
              <c:strCache>
                <c:ptCount val="13"/>
                <c:pt idx="0">
                  <c:v>Ecuación</c:v>
                </c:pt>
                <c:pt idx="1">
                  <c:v>Taire (°C)</c:v>
                </c:pt>
                <c:pt idx="2">
                  <c:v>Calibración termómetro</c:v>
                </c:pt>
                <c:pt idx="3">
                  <c:v>resolución termómetro</c:v>
                </c:pt>
                <c:pt idx="4">
                  <c:v>Deriva del termómetro</c:v>
                </c:pt>
                <c:pt idx="5">
                  <c:v>Humedad (% hr)</c:v>
                </c:pt>
                <c:pt idx="6">
                  <c:v>Calibración higrómetro</c:v>
                </c:pt>
                <c:pt idx="7">
                  <c:v>resolución higrómetro</c:v>
                </c:pt>
                <c:pt idx="8">
                  <c:v>Deriva del higrómetro</c:v>
                </c:pt>
                <c:pt idx="9">
                  <c:v>Presión (hPa)</c:v>
                </c:pt>
                <c:pt idx="10">
                  <c:v>Calibración barómetro</c:v>
                </c:pt>
                <c:pt idx="11">
                  <c:v>resolución barómetro</c:v>
                </c:pt>
                <c:pt idx="12">
                  <c:v>Deriva del barómetro</c:v>
                </c:pt>
              </c:strCache>
            </c:strRef>
          </c:cat>
          <c:val>
            <c:numRef>
              <c:f>'RT03-F33 &amp; '!$P$112:$P$124</c:f>
              <c:numCache>
                <c:formatCode>General</c:formatCode>
                <c:ptCount val="13"/>
                <c:pt idx="0" formatCode="0.000000%">
                  <c:v>#N/A</c:v>
                </c:pt>
                <c:pt idx="2" formatCode="0%">
                  <c:v>#N/A</c:v>
                </c:pt>
                <c:pt idx="3" formatCode="0%">
                  <c:v>#N/A</c:v>
                </c:pt>
                <c:pt idx="4" formatCode="0.00%">
                  <c:v>#N/A</c:v>
                </c:pt>
                <c:pt idx="6" formatCode="0%">
                  <c:v>#N/A</c:v>
                </c:pt>
                <c:pt idx="7" formatCode="0.0000%">
                  <c:v>#N/A</c:v>
                </c:pt>
                <c:pt idx="8" formatCode="0.00%">
                  <c:v>#N/A</c:v>
                </c:pt>
                <c:pt idx="10" formatCode="0%">
                  <c:v>#N/A</c:v>
                </c:pt>
                <c:pt idx="11" formatCode="0.00%">
                  <c:v>#N/A</c:v>
                </c:pt>
                <c:pt idx="12" formatCode="0.00%">
                  <c:v>#N/A</c:v>
                </c:pt>
              </c:numCache>
            </c:numRef>
          </c:val>
          <c:extLst>
            <c:ext xmlns:c16="http://schemas.microsoft.com/office/drawing/2014/chart" uri="{C3380CC4-5D6E-409C-BE32-E72D297353CC}">
              <c16:uniqueId val="{00000000-96E2-434C-838E-3A183A11BDD9}"/>
            </c:ext>
          </c:extLst>
        </c:ser>
        <c:dLbls>
          <c:dLblPos val="inEnd"/>
          <c:showLegendKey val="0"/>
          <c:showVal val="1"/>
          <c:showCatName val="0"/>
          <c:showSerName val="0"/>
          <c:showPercent val="0"/>
          <c:showBubbleSize val="0"/>
        </c:dLbls>
        <c:gapWidth val="65"/>
        <c:axId val="203723520"/>
        <c:axId val="203726208"/>
      </c:barChart>
      <c:catAx>
        <c:axId val="20372352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203726208"/>
        <c:crosses val="autoZero"/>
        <c:auto val="1"/>
        <c:lblAlgn val="ctr"/>
        <c:lblOffset val="100"/>
        <c:noMultiLvlLbl val="0"/>
      </c:catAx>
      <c:valAx>
        <c:axId val="20372620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00000%" sourceLinked="1"/>
        <c:majorTickMark val="none"/>
        <c:minorTickMark val="none"/>
        <c:tickLblPos val="nextTo"/>
        <c:crossAx val="203723520"/>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barChart>
        <c:barDir val="col"/>
        <c:grouping val="clustered"/>
        <c:varyColors val="0"/>
        <c:ser>
          <c:idx val="0"/>
          <c:order val="0"/>
          <c:tx>
            <c:strRef>
              <c:f>'RT03-F33 &amp; '!$P$134</c:f>
              <c:strCache>
                <c:ptCount val="1"/>
                <c:pt idx="0">
                  <c:v>Aporte a la Incertidumbre (agua)</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'RT03-F33 &amp; '!$A$136:$A$146</c:f>
              <c:strCache>
                <c:ptCount val="11"/>
                <c:pt idx="0">
                  <c:v>Expansión del agua</c:v>
                </c:pt>
                <c:pt idx="1">
                  <c:v>Composición isotópica</c:v>
                </c:pt>
                <c:pt idx="2">
                  <c:v>Ecuación</c:v>
                </c:pt>
                <c:pt idx="3">
                  <c:v>Tagua (°C)</c:v>
                </c:pt>
                <c:pt idx="4">
                  <c:v>Calibración termómetro</c:v>
                </c:pt>
                <c:pt idx="5">
                  <c:v>Resolución termómetro</c:v>
                </c:pt>
                <c:pt idx="6">
                  <c:v>Deriva del termómetro</c:v>
                </c:pt>
                <c:pt idx="7">
                  <c:v>Presión (hPa)</c:v>
                </c:pt>
                <c:pt idx="8">
                  <c:v>Calibración barómetro</c:v>
                </c:pt>
                <c:pt idx="9">
                  <c:v>Resolución barómetro</c:v>
                </c:pt>
                <c:pt idx="10">
                  <c:v>Deriva del barómetro</c:v>
                </c:pt>
              </c:strCache>
            </c:strRef>
          </c:cat>
          <c:val>
            <c:numRef>
              <c:f>'RT03-F33 &amp; '!$P$136:$P$146</c:f>
              <c:numCache>
                <c:formatCode>0%</c:formatCode>
                <c:ptCount val="11"/>
                <c:pt idx="0">
                  <c:v>#N/A</c:v>
                </c:pt>
                <c:pt idx="1">
                  <c:v>#N/A</c:v>
                </c:pt>
                <c:pt idx="2" formatCode="0.0%">
                  <c:v>#N/A</c:v>
                </c:pt>
                <c:pt idx="4">
                  <c:v>#N/A</c:v>
                </c:pt>
                <c:pt idx="5" formatCode="0.0000%">
                  <c:v>#N/A</c:v>
                </c:pt>
                <c:pt idx="6" formatCode="0.000%">
                  <c:v>#N/A</c:v>
                </c:pt>
                <c:pt idx="8" formatCode="0.000000%">
                  <c:v>#N/A</c:v>
                </c:pt>
                <c:pt idx="9" formatCode="0.0000000%">
                  <c:v>#N/A</c:v>
                </c:pt>
                <c:pt idx="10" formatCode="0.00%">
                  <c:v>#N/A</c:v>
                </c:pt>
              </c:numCache>
            </c:numRef>
          </c:val>
          <c:extLst>
            <c:ext xmlns:c16="http://schemas.microsoft.com/office/drawing/2014/chart" uri="{C3380CC4-5D6E-409C-BE32-E72D297353CC}">
              <c16:uniqueId val="{00000000-DEC1-47C8-B0F4-C84374DC84BC}"/>
            </c:ext>
          </c:extLst>
        </c:ser>
        <c:dLbls>
          <c:dLblPos val="inEnd"/>
          <c:showLegendKey val="0"/>
          <c:showVal val="1"/>
          <c:showCatName val="0"/>
          <c:showSerName val="0"/>
          <c:showPercent val="0"/>
          <c:showBubbleSize val="0"/>
        </c:dLbls>
        <c:gapWidth val="65"/>
        <c:axId val="204221056"/>
        <c:axId val="204232192"/>
      </c:barChart>
      <c:catAx>
        <c:axId val="20422105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204232192"/>
        <c:crosses val="autoZero"/>
        <c:auto val="1"/>
        <c:lblAlgn val="ctr"/>
        <c:lblOffset val="100"/>
        <c:noMultiLvlLbl val="0"/>
      </c:catAx>
      <c:valAx>
        <c:axId val="20423219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4221056"/>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barChart>
        <c:barDir val="col"/>
        <c:grouping val="clustered"/>
        <c:varyColors val="0"/>
        <c:ser>
          <c:idx val="0"/>
          <c:order val="0"/>
          <c:tx>
            <c:strRef>
              <c:f>'RT03-F33 &amp; '!$R$153</c:f>
              <c:strCache>
                <c:ptCount val="1"/>
                <c:pt idx="0">
                  <c:v>Aporte a la Incertidumbre (volumen)</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'RT03-F33 &amp; '!$A$156:$A$182</c:f>
              <c:strCache>
                <c:ptCount val="27"/>
                <c:pt idx="0">
                  <c:v>Resolución balanza, g</c:v>
                </c:pt>
                <c:pt idx="1">
                  <c:v>Calibración, g</c:v>
                </c:pt>
                <c:pt idx="2">
                  <c:v>Excentricidad, g</c:v>
                </c:pt>
                <c:pt idx="3">
                  <c:v>Deriva,g</c:v>
                </c:pt>
                <c:pt idx="4">
                  <c:v>Lectura recipiente vacío g</c:v>
                </c:pt>
                <c:pt idx="5">
                  <c:v>Resolución, g</c:v>
                </c:pt>
                <c:pt idx="6">
                  <c:v>Calibración, g</c:v>
                </c:pt>
                <c:pt idx="7">
                  <c:v>Excentricidad, g</c:v>
                </c:pt>
                <c:pt idx="8">
                  <c:v>Deriva,g</c:v>
                </c:pt>
                <c:pt idx="9">
                  <c:v>Densidad del aire (g/cm3)</c:v>
                </c:pt>
                <c:pt idx="10">
                  <c:v>CIPM Versión Exponencial 2007</c:v>
                </c:pt>
                <c:pt idx="11">
                  <c:v>Densidad del agua [g/cm³]</c:v>
                </c:pt>
                <c:pt idx="12">
                  <c:v>Tanaka</c:v>
                </c:pt>
                <c:pt idx="13">
                  <c:v>Den. Masas [g/cm³]</c:v>
                </c:pt>
                <c:pt idx="14">
                  <c:v>OIML R 111-1</c:v>
                </c:pt>
                <c:pt idx="15">
                  <c:v>Coef. Cúbico de exp. [1/°C]</c:v>
                </c:pt>
                <c:pt idx="16">
                  <c:v>Coeficiente expansión Térmica del material</c:v>
                </c:pt>
                <c:pt idx="17">
                  <c:v>Temperatura del agua [°C]</c:v>
                </c:pt>
                <c:pt idx="18">
                  <c:v>Resolución termómetro, ºC</c:v>
                </c:pt>
                <c:pt idx="19">
                  <c:v>Calibración termómetro, ºC</c:v>
                </c:pt>
                <c:pt idx="20">
                  <c:v>Deriva termómetro, ºC</c:v>
                </c:pt>
                <c:pt idx="21">
                  <c:v>Gradiente en la medición de la temperatura</c:v>
                </c:pt>
                <c:pt idx="22">
                  <c:v>Gradiente entre Tagua y T aire, ºC</c:v>
                </c:pt>
                <c:pt idx="23">
                  <c:v>Repetibilidad</c:v>
                </c:pt>
                <c:pt idx="24">
                  <c:v>Ajuste menisco (Efecto operador)</c:v>
                </c:pt>
                <c:pt idx="25">
                  <c:v>Ajuste menisco (Efecto operador)</c:v>
                </c:pt>
                <c:pt idx="26">
                  <c:v>Evaporación</c:v>
                </c:pt>
              </c:strCache>
            </c:strRef>
          </c:cat>
          <c:val>
            <c:numRef>
              <c:f>'RT03-F33 &amp; '!$R$156:$R$182</c:f>
              <c:numCache>
                <c:formatCode>0.000%</c:formatCode>
                <c:ptCount val="27"/>
                <c:pt idx="0">
                  <c:v>#N/A</c:v>
                </c:pt>
                <c:pt idx="1">
                  <c:v>#N/A</c:v>
                </c:pt>
                <c:pt idx="2">
                  <c:v>#N/A</c:v>
                </c:pt>
                <c:pt idx="3">
                  <c:v>#N/A</c:v>
                </c:pt>
                <c:pt idx="5">
                  <c:v>#N/A</c:v>
                </c:pt>
                <c:pt idx="6">
                  <c:v>#N/A</c:v>
                </c:pt>
                <c:pt idx="7">
                  <c:v>#N/A</c:v>
                </c:pt>
                <c:pt idx="8">
                  <c:v>#N/A</c:v>
                </c:pt>
                <c:pt idx="10">
                  <c:v>#N/A</c:v>
                </c:pt>
                <c:pt idx="12">
                  <c:v>#N/A</c:v>
                </c:pt>
                <c:pt idx="14">
                  <c:v>#N/A</c:v>
                </c:pt>
                <c:pt idx="16">
                  <c:v>#N/A</c:v>
                </c:pt>
                <c:pt idx="18">
                  <c:v>#N/A</c:v>
                </c:pt>
                <c:pt idx="19">
                  <c:v>#N/A</c:v>
                </c:pt>
                <c:pt idx="20">
                  <c:v>#N/A</c:v>
                </c:pt>
                <c:pt idx="21">
                  <c:v>#N/A</c:v>
                </c:pt>
                <c:pt idx="22" formatCode="0.00%">
                  <c:v>#N/A</c:v>
                </c:pt>
                <c:pt idx="23" formatCode="0.0%">
                  <c:v>#N/A</c:v>
                </c:pt>
                <c:pt idx="24" formatCode="0.0%">
                  <c:v>#N/A</c:v>
                </c:pt>
                <c:pt idx="25">
                  <c:v>#N/A</c:v>
                </c:pt>
                <c:pt idx="26" formatCode="0.0%">
                  <c:v>#N/A</c:v>
                </c:pt>
              </c:numCache>
            </c:numRef>
          </c:val>
          <c:extLst>
            <c:ext xmlns:c16="http://schemas.microsoft.com/office/drawing/2014/chart" uri="{C3380CC4-5D6E-409C-BE32-E72D297353CC}">
              <c16:uniqueId val="{00000000-F04D-4B2C-8AD2-6F19C27E0F6B}"/>
            </c:ext>
          </c:extLst>
        </c:ser>
        <c:dLbls>
          <c:dLblPos val="inEnd"/>
          <c:showLegendKey val="0"/>
          <c:showVal val="1"/>
          <c:showCatName val="0"/>
          <c:showSerName val="0"/>
          <c:showPercent val="0"/>
          <c:showBubbleSize val="0"/>
        </c:dLbls>
        <c:gapWidth val="65"/>
        <c:axId val="204256768"/>
        <c:axId val="204292480"/>
      </c:barChart>
      <c:catAx>
        <c:axId val="2042567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204292480"/>
        <c:crosses val="autoZero"/>
        <c:auto val="1"/>
        <c:lblAlgn val="ctr"/>
        <c:lblOffset val="100"/>
        <c:noMultiLvlLbl val="0"/>
      </c:catAx>
      <c:valAx>
        <c:axId val="20429248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00%" sourceLinked="1"/>
        <c:majorTickMark val="none"/>
        <c:minorTickMark val="none"/>
        <c:tickLblPos val="nextTo"/>
        <c:crossAx val="204256768"/>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s-CO"/>
              <a:t>probabilidad de Conformidad y no Conformidad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'Pc &amp;'!$B$3</c:f>
              <c:strCache>
                <c:ptCount val="1"/>
                <c:pt idx="0">
                  <c:v>TU (EMP + (mL))</c:v>
                </c:pt>
              </c:strCache>
            </c:strRef>
          </c:tx>
          <c:spPr>
            <a:ln w="22225" cap="rnd">
              <a:solidFill>
                <a:srgbClr val="FF0000"/>
              </a:solidFill>
              <a:round/>
            </a:ln>
            <a:effectLst/>
          </c:spPr>
          <c:marker>
            <c:symbol val="none"/>
          </c:marker>
          <c:cat>
            <c:strRef>
              <c:f>'Pc &amp;'!$A$4:$A$8</c:f>
              <c:strCache>
                <c:ptCount val="5"/>
                <c:pt idx="0">
                  <c:v>1</c:v>
                </c:pt>
                <c:pt idx="1">
                  <c:v>Antes de ajuste</c:v>
                </c:pt>
                <c:pt idx="2">
                  <c:v>Despues de ajuste</c:v>
                </c:pt>
                <c:pt idx="3">
                  <c:v>3</c:v>
                </c:pt>
                <c:pt idx="4">
                  <c:v>4</c:v>
                </c:pt>
              </c:strCache>
            </c:strRef>
          </c:cat>
          <c:val>
            <c:numRef>
              <c:f>'Pc &amp;'!$B$4:$B$8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0-88E6-47F5-85D4-1AB2F91DFFC0}"/>
            </c:ext>
          </c:extLst>
        </c:ser>
        <c:ser>
          <c:idx val="1"/>
          <c:order val="1"/>
          <c:tx>
            <c:strRef>
              <c:f>'Pc &amp;'!$C$3</c:f>
              <c:strCache>
                <c:ptCount val="1"/>
                <c:pt idx="0">
                  <c:v>TL (EMP - (mL))</c:v>
                </c:pt>
              </c:strCache>
            </c:strRef>
          </c:tx>
          <c:spPr>
            <a:ln w="22225" cap="rnd">
              <a:solidFill>
                <a:srgbClr val="FF0000"/>
              </a:solidFill>
              <a:round/>
            </a:ln>
            <a:effectLst/>
          </c:spPr>
          <c:marker>
            <c:symbol val="none"/>
          </c:marker>
          <c:val>
            <c:numRef>
              <c:f>'Pc &amp;'!$C$4:$C$8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2-88E6-47F5-85D4-1AB2F91DFFC0}"/>
            </c:ext>
          </c:extLst>
        </c:ser>
        <c:ser>
          <c:idx val="2"/>
          <c:order val="2"/>
          <c:tx>
            <c:strRef>
              <c:f>'Pc &amp;'!$D$3</c:f>
              <c:strCache>
                <c:ptCount val="1"/>
                <c:pt idx="0">
                  <c:v>Volume nominal</c:v>
                </c:pt>
              </c:strCache>
            </c:strRef>
          </c:tx>
          <c:spPr>
            <a:ln w="19050" cap="rnd">
              <a:solidFill>
                <a:srgbClr val="00B050"/>
              </a:solidFill>
              <a:round/>
            </a:ln>
            <a:effectLst/>
          </c:spPr>
          <c:marker>
            <c:symbol val="none"/>
          </c:marker>
          <c:val>
            <c:numRef>
              <c:f>'Pc &amp;'!$D$4:$D$8</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3-88E6-47F5-85D4-1AB2F91DFFC0}"/>
            </c:ext>
          </c:extLst>
        </c:ser>
        <c:ser>
          <c:idx val="3"/>
          <c:order val="3"/>
          <c:tx>
            <c:strRef>
              <c:f>'Pc &amp;'!$E$3</c:f>
              <c:strCache>
                <c:ptCount val="1"/>
                <c:pt idx="0">
                  <c:v>Error indicación (mL)</c:v>
                </c:pt>
              </c:strCache>
            </c:strRef>
          </c:tx>
          <c:spPr>
            <a:ln w="19050" cap="rnd">
              <a:noFill/>
              <a:round/>
            </a:ln>
            <a:effectLst/>
          </c:spPr>
          <c:marker>
            <c:symbol val="circle"/>
            <c:size val="5"/>
            <c:spPr>
              <a:solidFill>
                <a:schemeClr val="tx1"/>
              </a:solidFill>
              <a:ln w="9525">
                <a:solidFill>
                  <a:schemeClr val="tx1"/>
                </a:solidFill>
              </a:ln>
              <a:effectLst/>
            </c:spPr>
          </c:marker>
          <c:errBars>
            <c:errDir val="y"/>
            <c:errBarType val="both"/>
            <c:errValType val="cust"/>
            <c:noEndCap val="0"/>
            <c:plus>
              <c:numRef>
                <c:f>'Pc &amp;'!$F$4:$F$8</c:f>
                <c:numCache>
                  <c:formatCode>General</c:formatCode>
                  <c:ptCount val="5"/>
                  <c:pt idx="1">
                    <c:v>#N/A</c:v>
                  </c:pt>
                  <c:pt idx="2">
                    <c:v>0</c:v>
                  </c:pt>
                </c:numCache>
              </c:numRef>
            </c:plus>
            <c:minus>
              <c:numRef>
                <c:f>'Pc &amp;'!$F$4:$F$8</c:f>
                <c:numCache>
                  <c:formatCode>General</c:formatCode>
                  <c:ptCount val="5"/>
                  <c:pt idx="1">
                    <c:v>#N/A</c:v>
                  </c:pt>
                  <c:pt idx="2">
                    <c:v>0</c:v>
                  </c:pt>
                </c:numCache>
              </c:numRef>
            </c:minus>
            <c:spPr>
              <a:noFill/>
              <a:ln w="9525" cap="flat" cmpd="sng" algn="ctr">
                <a:solidFill>
                  <a:schemeClr val="tx1">
                    <a:lumMod val="65000"/>
                    <a:lumOff val="35000"/>
                  </a:schemeClr>
                </a:solidFill>
                <a:round/>
              </a:ln>
              <a:effectLst/>
            </c:spPr>
          </c:errBars>
          <c:val>
            <c:numRef>
              <c:f>'Pc &amp;'!$E$4:$E$8</c:f>
              <c:numCache>
                <c:formatCode>0.00</c:formatCode>
                <c:ptCount val="5"/>
                <c:pt idx="1">
                  <c:v>#N/A</c:v>
                </c:pt>
                <c:pt idx="2">
                  <c:v>0</c:v>
                </c:pt>
              </c:numCache>
            </c:numRef>
          </c:val>
          <c:smooth val="0"/>
          <c:extLst>
            <c:ext xmlns:c16="http://schemas.microsoft.com/office/drawing/2014/chart" uri="{C3380CC4-5D6E-409C-BE32-E72D297353CC}">
              <c16:uniqueId val="{00000004-88E6-47F5-85D4-1AB2F91DFFC0}"/>
            </c:ext>
          </c:extLst>
        </c:ser>
        <c:dLbls>
          <c:showLegendKey val="0"/>
          <c:showVal val="0"/>
          <c:showCatName val="0"/>
          <c:showSerName val="0"/>
          <c:showPercent val="0"/>
          <c:showBubbleSize val="0"/>
        </c:dLbls>
        <c:smooth val="0"/>
        <c:axId val="201369088"/>
        <c:axId val="201370624"/>
      </c:lineChart>
      <c:catAx>
        <c:axId val="2013690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01370624"/>
        <c:crosses val="autoZero"/>
        <c:auto val="1"/>
        <c:lblAlgn val="ctr"/>
        <c:lblOffset val="100"/>
        <c:noMultiLvlLbl val="0"/>
      </c:catAx>
      <c:valAx>
        <c:axId val="201370624"/>
        <c:scaling>
          <c:orientation val="minMax"/>
          <c:min val="-15.0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0136908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dk1"/>
                </a:solidFill>
                <a:latin typeface="+mn-lt"/>
                <a:ea typeface="+mn-ea"/>
                <a:cs typeface="+mn-cs"/>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25400" cap="flat" cmpd="sng" algn="ctr">
      <a:solidFill>
        <a:schemeClr val="dk1"/>
      </a:solidFill>
      <a:prstDash val="solid"/>
      <a:roun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&amp;'!$F$62:$F$64</c:f>
              <c:numCache>
                <c:formatCode>General</c:formatCode>
                <c:ptCount val="3"/>
                <c:pt idx="0">
                  <c:v>598.03200000000004</c:v>
                </c:pt>
                <c:pt idx="1">
                  <c:v>752.71299999999997</c:v>
                </c:pt>
                <c:pt idx="2" formatCode="0.0">
                  <c:v>848.5</c:v>
                </c:pt>
              </c:numCache>
            </c:numRef>
          </c:xVal>
          <c:yVal>
            <c:numRef>
              <c:f>'DATOS &amp;'!$H$62:$H$64</c:f>
              <c:numCache>
                <c:formatCode>0.000</c:formatCode>
                <c:ptCount val="3"/>
                <c:pt idx="0">
                  <c:v>1.534</c:v>
                </c:pt>
                <c:pt idx="1">
                  <c:v>1.0549999999999999</c:v>
                </c:pt>
                <c:pt idx="2">
                  <c:v>0.77800000000000002</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202316032"/>
        <c:axId val="202321920"/>
      </c:scatterChart>
      <c:valAx>
        <c:axId val="20231603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321920"/>
        <c:crosses val="autoZero"/>
        <c:crossBetween val="midCat"/>
      </c:valAx>
      <c:valAx>
        <c:axId val="20232192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31603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&amp;'!$A$67</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&amp;'!$F$67:$F$69</c:f>
              <c:numCache>
                <c:formatCode>General</c:formatCode>
                <c:ptCount val="3"/>
                <c:pt idx="0" formatCode="0.0">
                  <c:v>15.3</c:v>
                </c:pt>
                <c:pt idx="1">
                  <c:v>24.5</c:v>
                </c:pt>
                <c:pt idx="2">
                  <c:v>29.5</c:v>
                </c:pt>
              </c:numCache>
            </c:numRef>
          </c:xVal>
          <c:yVal>
            <c:numRef>
              <c:f>'DATOS &amp;'!$H$67:$H$69</c:f>
              <c:numCache>
                <c:formatCode>General</c:formatCode>
                <c:ptCount val="3"/>
                <c:pt idx="0">
                  <c:v>-0.1</c:v>
                </c:pt>
                <c:pt idx="1">
                  <c:v>0.3</c:v>
                </c:pt>
                <c:pt idx="2">
                  <c:v>0.2</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202368512"/>
        <c:axId val="202370048"/>
      </c:scatterChart>
      <c:valAx>
        <c:axId val="20236851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370048"/>
        <c:crosses val="autoZero"/>
        <c:crossBetween val="midCat"/>
      </c:valAx>
      <c:valAx>
        <c:axId val="20237004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36851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&amp;'!$A$70</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&amp;'!$F$70:$F$72</c:f>
              <c:numCache>
                <c:formatCode>General</c:formatCode>
                <c:ptCount val="3"/>
                <c:pt idx="0">
                  <c:v>32.4</c:v>
                </c:pt>
                <c:pt idx="1">
                  <c:v>50.2</c:v>
                </c:pt>
                <c:pt idx="2">
                  <c:v>76.099999999999994</c:v>
                </c:pt>
              </c:numCache>
            </c:numRef>
          </c:xVal>
          <c:yVal>
            <c:numRef>
              <c:f>'DATOS &amp;'!$H$70:$H$72</c:f>
              <c:numCache>
                <c:formatCode>#,##0.0</c:formatCode>
                <c:ptCount val="3"/>
                <c:pt idx="0">
                  <c:v>-2.4</c:v>
                </c:pt>
                <c:pt idx="1">
                  <c:v>-0.2</c:v>
                </c:pt>
                <c:pt idx="2">
                  <c:v>3.9</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202488064"/>
        <c:axId val="202493952"/>
      </c:scatterChart>
      <c:valAx>
        <c:axId val="20248806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493952"/>
        <c:crosses val="autoZero"/>
        <c:crossBetween val="midCat"/>
      </c:valAx>
      <c:valAx>
        <c:axId val="20249395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48806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&amp;'!$A$73</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&amp;'!$F$73:$F$75</c:f>
              <c:numCache>
                <c:formatCode>0.000</c:formatCode>
                <c:ptCount val="3"/>
                <c:pt idx="0">
                  <c:v>397.70400000000001</c:v>
                </c:pt>
                <c:pt idx="1">
                  <c:v>752.71299999999997</c:v>
                </c:pt>
                <c:pt idx="2">
                  <c:v>1098.79</c:v>
                </c:pt>
              </c:numCache>
            </c:numRef>
          </c:xVal>
          <c:yVal>
            <c:numRef>
              <c:f>'DATOS &amp;'!$H$73:$H$75</c:f>
              <c:numCache>
                <c:formatCode>#,##0.00</c:formatCode>
                <c:ptCount val="3"/>
                <c:pt idx="0">
                  <c:v>2.25</c:v>
                </c:pt>
                <c:pt idx="1">
                  <c:v>1.0549999999999999</c:v>
                </c:pt>
                <c:pt idx="2">
                  <c:v>0.84</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202553216"/>
        <c:axId val="202554752"/>
      </c:scatterChart>
      <c:valAx>
        <c:axId val="20255321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554752"/>
        <c:crosses val="autoZero"/>
        <c:crossBetween val="midCat"/>
      </c:valAx>
      <c:valAx>
        <c:axId val="20255475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55321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&amp;'!$A$78</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&amp;'!$F$78:$F$80</c:f>
              <c:numCache>
                <c:formatCode>General</c:formatCode>
                <c:ptCount val="3"/>
                <c:pt idx="0" formatCode="0.0">
                  <c:v>15.3</c:v>
                </c:pt>
                <c:pt idx="1">
                  <c:v>24.8</c:v>
                </c:pt>
                <c:pt idx="2">
                  <c:v>29.6</c:v>
                </c:pt>
              </c:numCache>
            </c:numRef>
          </c:xVal>
          <c:yVal>
            <c:numRef>
              <c:f>'DATOS &amp;'!$H$78:$H$80</c:f>
              <c:numCache>
                <c:formatCode>0.0</c:formatCode>
                <c:ptCount val="3"/>
                <c:pt idx="0">
                  <c:v>-0.1</c:v>
                </c:pt>
                <c:pt idx="1">
                  <c:v>0</c:v>
                </c:pt>
                <c:pt idx="2" formatCode="General">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202597504"/>
        <c:axId val="202599040"/>
      </c:scatterChart>
      <c:valAx>
        <c:axId val="20259750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599040"/>
        <c:crosses val="autoZero"/>
        <c:crossBetween val="midCat"/>
      </c:valAx>
      <c:valAx>
        <c:axId val="20259904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59750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&amp;'!$A$81</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&amp;'!$F$81:$F$83</c:f>
              <c:numCache>
                <c:formatCode>General</c:formatCode>
                <c:ptCount val="3"/>
                <c:pt idx="0">
                  <c:v>32.299999999999997</c:v>
                </c:pt>
                <c:pt idx="1">
                  <c:v>50.6</c:v>
                </c:pt>
                <c:pt idx="2">
                  <c:v>68.599999999999994</c:v>
                </c:pt>
              </c:numCache>
            </c:numRef>
          </c:xVal>
          <c:yVal>
            <c:numRef>
              <c:f>'DATOS &amp;'!$H$81:$H$83</c:f>
              <c:numCache>
                <c:formatCode>General</c:formatCode>
                <c:ptCount val="3"/>
                <c:pt idx="0">
                  <c:v>-2.2999999999999998</c:v>
                </c:pt>
                <c:pt idx="1">
                  <c:v>-0.6</c:v>
                </c:pt>
                <c:pt idx="2">
                  <c:v>1.4</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202791552"/>
        <c:axId val="202797440"/>
      </c:scatterChart>
      <c:valAx>
        <c:axId val="20279155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797440"/>
        <c:crosses val="autoZero"/>
        <c:crossBetween val="midCat"/>
      </c:valAx>
      <c:valAx>
        <c:axId val="20279744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79155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&amp;'!$A$84</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&amp;'!$F$84:$F$86</c:f>
              <c:numCache>
                <c:formatCode>General</c:formatCode>
                <c:ptCount val="3"/>
                <c:pt idx="0" formatCode="0.0">
                  <c:v>397.74599999999998</c:v>
                </c:pt>
                <c:pt idx="1">
                  <c:v>752.61900000000003</c:v>
                </c:pt>
                <c:pt idx="2">
                  <c:v>1098.8340000000001</c:v>
                </c:pt>
              </c:numCache>
            </c:numRef>
          </c:xVal>
          <c:yVal>
            <c:numRef>
              <c:f>'DATOS &amp;'!$H$84:$H$86</c:f>
              <c:numCache>
                <c:formatCode>0.000</c:formatCode>
                <c:ptCount val="3"/>
                <c:pt idx="0" formatCode="0.00">
                  <c:v>2.33</c:v>
                </c:pt>
                <c:pt idx="1">
                  <c:v>0.99099999999999999</c:v>
                </c:pt>
                <c:pt idx="2" formatCode="0.00">
                  <c:v>0.74</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202704768"/>
        <c:axId val="202706304"/>
      </c:scatterChart>
      <c:valAx>
        <c:axId val="20270476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706304"/>
        <c:crosses val="autoZero"/>
        <c:crossBetween val="midCat"/>
      </c:valAx>
      <c:valAx>
        <c:axId val="20270630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70476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image" Target="../media/image1.png"/><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21.xml"/><Relationship Id="rId7" Type="http://schemas.openxmlformats.org/officeDocument/2006/relationships/image" Target="../media/image1.png"/><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3.xml"/><Relationship Id="rId5" Type="http://schemas.openxmlformats.org/officeDocument/2006/relationships/image" Target="../media/image3.png"/><Relationship Id="rId4" Type="http://schemas.openxmlformats.org/officeDocument/2006/relationships/chart" Target="../charts/chart22.xml"/></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9.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image" Target="../media/image13.png"/><Relationship Id="rId7" Type="http://schemas.openxmlformats.org/officeDocument/2006/relationships/chart" Target="../charts/chart24.xml"/><Relationship Id="rId2" Type="http://schemas.microsoft.com/office/2007/relationships/hdphoto" Target="../media/hdphoto1.wdp"/><Relationship Id="rId1" Type="http://schemas.openxmlformats.org/officeDocument/2006/relationships/image" Target="../media/image12.png"/><Relationship Id="rId6" Type="http://schemas.microsoft.com/office/2007/relationships/hdphoto" Target="../media/hdphoto3.wdp"/><Relationship Id="rId5" Type="http://schemas.openxmlformats.org/officeDocument/2006/relationships/image" Target="../media/image14.png"/><Relationship Id="rId4" Type="http://schemas.microsoft.com/office/2007/relationships/hdphoto" Target="../media/hdphoto2.wdp"/></Relationships>
</file>

<file path=xl/drawings/drawing1.xml><?xml version="1.0" encoding="utf-8"?>
<xdr:wsDr xmlns:xdr="http://schemas.openxmlformats.org/drawingml/2006/spreadsheetDrawing" xmlns:a="http://schemas.openxmlformats.org/drawingml/2006/main">
  <xdr:twoCellAnchor>
    <xdr:from>
      <xdr:col>14</xdr:col>
      <xdr:colOff>88447</xdr:colOff>
      <xdr:row>59</xdr:row>
      <xdr:rowOff>222250</xdr:rowOff>
    </xdr:from>
    <xdr:to>
      <xdr:col>15</xdr:col>
      <xdr:colOff>1016000</xdr:colOff>
      <xdr:row>63</xdr:row>
      <xdr:rowOff>63500</xdr:rowOff>
    </xdr:to>
    <xdr:graphicFrame macro="">
      <xdr:nvGraphicFramePr>
        <xdr:cNvPr id="4" name="Gráfico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24947</xdr:colOff>
      <xdr:row>59</xdr:row>
      <xdr:rowOff>222250</xdr:rowOff>
    </xdr:from>
    <xdr:to>
      <xdr:col>17</xdr:col>
      <xdr:colOff>889000</xdr:colOff>
      <xdr:row>63</xdr:row>
      <xdr:rowOff>15875</xdr:rowOff>
    </xdr:to>
    <xdr:graphicFrame macro="">
      <xdr:nvGraphicFramePr>
        <xdr:cNvPr id="6" name="Gráfico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1090840</xdr:colOff>
      <xdr:row>59</xdr:row>
      <xdr:rowOff>238125</xdr:rowOff>
    </xdr:from>
    <xdr:to>
      <xdr:col>19</xdr:col>
      <xdr:colOff>904876</xdr:colOff>
      <xdr:row>62</xdr:row>
      <xdr:rowOff>374197</xdr:rowOff>
    </xdr:to>
    <xdr:graphicFrame macro="">
      <xdr:nvGraphicFramePr>
        <xdr:cNvPr id="7" name="Gráfico 6">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43089</xdr:colOff>
      <xdr:row>69</xdr:row>
      <xdr:rowOff>111124</xdr:rowOff>
    </xdr:from>
    <xdr:to>
      <xdr:col>15</xdr:col>
      <xdr:colOff>1016001</xdr:colOff>
      <xdr:row>72</xdr:row>
      <xdr:rowOff>208643</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88448</xdr:colOff>
      <xdr:row>69</xdr:row>
      <xdr:rowOff>111124</xdr:rowOff>
    </xdr:from>
    <xdr:to>
      <xdr:col>17</xdr:col>
      <xdr:colOff>904876</xdr:colOff>
      <xdr:row>72</xdr:row>
      <xdr:rowOff>238125</xdr:rowOff>
    </xdr:to>
    <xdr:graphicFrame macro="">
      <xdr:nvGraphicFramePr>
        <xdr:cNvPr id="10" name="Gráfico 9">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1059090</xdr:colOff>
      <xdr:row>69</xdr:row>
      <xdr:rowOff>111125</xdr:rowOff>
    </xdr:from>
    <xdr:to>
      <xdr:col>19</xdr:col>
      <xdr:colOff>984250</xdr:colOff>
      <xdr:row>72</xdr:row>
      <xdr:rowOff>222250</xdr:rowOff>
    </xdr:to>
    <xdr:graphicFrame macro="">
      <xdr:nvGraphicFramePr>
        <xdr:cNvPr id="11" name="Gráfico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90714</xdr:colOff>
      <xdr:row>80</xdr:row>
      <xdr:rowOff>190500</xdr:rowOff>
    </xdr:from>
    <xdr:to>
      <xdr:col>15</xdr:col>
      <xdr:colOff>1095375</xdr:colOff>
      <xdr:row>83</xdr:row>
      <xdr:rowOff>260804</xdr:rowOff>
    </xdr:to>
    <xdr:graphicFrame macro="">
      <xdr:nvGraphicFramePr>
        <xdr:cNvPr id="13" name="Gráfico 12">
          <a:extLst>
            <a:ext uri="{FF2B5EF4-FFF2-40B4-BE49-F238E27FC236}">
              <a16:creationId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70304</xdr:colOff>
      <xdr:row>80</xdr:row>
      <xdr:rowOff>190499</xdr:rowOff>
    </xdr:from>
    <xdr:to>
      <xdr:col>17</xdr:col>
      <xdr:colOff>1063625</xdr:colOff>
      <xdr:row>83</xdr:row>
      <xdr:rowOff>249464</xdr:rowOff>
    </xdr:to>
    <xdr:graphicFrame macro="">
      <xdr:nvGraphicFramePr>
        <xdr:cNvPr id="15" name="Gráfico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117929</xdr:colOff>
      <xdr:row>80</xdr:row>
      <xdr:rowOff>127000</xdr:rowOff>
    </xdr:from>
    <xdr:to>
      <xdr:col>19</xdr:col>
      <xdr:colOff>984250</xdr:colOff>
      <xdr:row>83</xdr:row>
      <xdr:rowOff>269875</xdr:rowOff>
    </xdr:to>
    <xdr:graphicFrame macro="">
      <xdr:nvGraphicFramePr>
        <xdr:cNvPr id="16" name="Gráfico 15">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61233</xdr:colOff>
      <xdr:row>91</xdr:row>
      <xdr:rowOff>126999</xdr:rowOff>
    </xdr:from>
    <xdr:to>
      <xdr:col>15</xdr:col>
      <xdr:colOff>1047751</xdr:colOff>
      <xdr:row>94</xdr:row>
      <xdr:rowOff>242660</xdr:rowOff>
    </xdr:to>
    <xdr:graphicFrame macro="">
      <xdr:nvGraphicFramePr>
        <xdr:cNvPr id="17" name="Gráfico 16">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13608</xdr:colOff>
      <xdr:row>91</xdr:row>
      <xdr:rowOff>111125</xdr:rowOff>
    </xdr:from>
    <xdr:to>
      <xdr:col>17</xdr:col>
      <xdr:colOff>904875</xdr:colOff>
      <xdr:row>94</xdr:row>
      <xdr:rowOff>242661</xdr:rowOff>
    </xdr:to>
    <xdr:graphicFrame macro="">
      <xdr:nvGraphicFramePr>
        <xdr:cNvPr id="18" name="Gráfico 17">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1047750</xdr:colOff>
      <xdr:row>91</xdr:row>
      <xdr:rowOff>127000</xdr:rowOff>
    </xdr:from>
    <xdr:to>
      <xdr:col>19</xdr:col>
      <xdr:colOff>904875</xdr:colOff>
      <xdr:row>94</xdr:row>
      <xdr:rowOff>276679</xdr:rowOff>
    </xdr:to>
    <xdr:graphicFrame macro="">
      <xdr:nvGraphicFramePr>
        <xdr:cNvPr id="19" name="Gráfico 18">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83911</xdr:colOff>
      <xdr:row>102</xdr:row>
      <xdr:rowOff>269874</xdr:rowOff>
    </xdr:from>
    <xdr:to>
      <xdr:col>16</xdr:col>
      <xdr:colOff>0</xdr:colOff>
      <xdr:row>106</xdr:row>
      <xdr:rowOff>11339</xdr:rowOff>
    </xdr:to>
    <xdr:graphicFrame macro="">
      <xdr:nvGraphicFramePr>
        <xdr:cNvPr id="20" name="Gráfico 19">
          <a:extLst>
            <a:ext uri="{FF2B5EF4-FFF2-40B4-BE49-F238E27FC236}">
              <a16:creationId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16</xdr:col>
      <xdr:colOff>117929</xdr:colOff>
      <xdr:row>102</xdr:row>
      <xdr:rowOff>269874</xdr:rowOff>
    </xdr:from>
    <xdr:to>
      <xdr:col>17</xdr:col>
      <xdr:colOff>1079500</xdr:colOff>
      <xdr:row>106</xdr:row>
      <xdr:rowOff>13607</xdr:rowOff>
    </xdr:to>
    <xdr:graphicFrame macro="">
      <xdr:nvGraphicFramePr>
        <xdr:cNvPr id="22" name="Gráfico 21">
          <a:extLst>
            <a:ext uri="{FF2B5EF4-FFF2-40B4-BE49-F238E27FC236}">
              <a16:creationId xmlns:a16="http://schemas.microsoft.com/office/drawing/2014/main"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18</xdr:col>
      <xdr:colOff>72573</xdr:colOff>
      <xdr:row>102</xdr:row>
      <xdr:rowOff>285750</xdr:rowOff>
    </xdr:from>
    <xdr:to>
      <xdr:col>19</xdr:col>
      <xdr:colOff>952501</xdr:colOff>
      <xdr:row>106</xdr:row>
      <xdr:rowOff>47626</xdr:rowOff>
    </xdr:to>
    <xdr:graphicFrame macro="">
      <xdr:nvGraphicFramePr>
        <xdr:cNvPr id="23" name="Gráfico 22">
          <a:extLst>
            <a:ext uri="{FF2B5EF4-FFF2-40B4-BE49-F238E27FC236}">
              <a16:creationId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18</xdr:col>
      <xdr:colOff>385160</xdr:colOff>
      <xdr:row>42</xdr:row>
      <xdr:rowOff>481542</xdr:rowOff>
    </xdr:from>
    <xdr:to>
      <xdr:col>21</xdr:col>
      <xdr:colOff>952500</xdr:colOff>
      <xdr:row>49</xdr:row>
      <xdr:rowOff>83343</xdr:rowOff>
    </xdr:to>
    <xdr:graphicFrame macro="">
      <xdr:nvGraphicFramePr>
        <xdr:cNvPr id="24" name="Gráfico 23">
          <a:extLst>
            <a:ext uri="{FF2B5EF4-FFF2-40B4-BE49-F238E27FC236}">
              <a16:creationId xmlns:a16="http://schemas.microsoft.com/office/drawing/2014/main" id="{00000000-0008-0000-0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18</xdr:col>
      <xdr:colOff>249845</xdr:colOff>
      <xdr:row>36</xdr:row>
      <xdr:rowOff>236237</xdr:rowOff>
    </xdr:from>
    <xdr:to>
      <xdr:col>21</xdr:col>
      <xdr:colOff>928689</xdr:colOff>
      <xdr:row>42</xdr:row>
      <xdr:rowOff>150814</xdr:rowOff>
    </xdr:to>
    <xdr:graphicFrame macro="">
      <xdr:nvGraphicFramePr>
        <xdr:cNvPr id="26" name="Gráfico 25">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18</xdr:col>
      <xdr:colOff>595313</xdr:colOff>
      <xdr:row>170</xdr:row>
      <xdr:rowOff>107157</xdr:rowOff>
    </xdr:from>
    <xdr:to>
      <xdr:col>22</xdr:col>
      <xdr:colOff>238313</xdr:colOff>
      <xdr:row>176</xdr:row>
      <xdr:rowOff>93172</xdr:rowOff>
    </xdr:to>
    <xdr:graphicFrame macro="">
      <xdr:nvGraphicFramePr>
        <xdr:cNvPr id="25" name="Gráfico 24">
          <a:extLst>
            <a:ext uri="{FF2B5EF4-FFF2-40B4-BE49-F238E27FC236}">
              <a16:creationId xmlns:a16="http://schemas.microsoft.com/office/drawing/2014/main" id="{00000000-0008-0000-0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xdr:col>
      <xdr:colOff>23813</xdr:colOff>
      <xdr:row>0</xdr:row>
      <xdr:rowOff>71438</xdr:rowOff>
    </xdr:from>
    <xdr:to>
      <xdr:col>2</xdr:col>
      <xdr:colOff>845339</xdr:colOff>
      <xdr:row>0</xdr:row>
      <xdr:rowOff>945497</xdr:rowOff>
    </xdr:to>
    <xdr:pic>
      <xdr:nvPicPr>
        <xdr:cNvPr id="27" name="26 Imagen">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9"/>
        <a:stretch>
          <a:fillRect/>
        </a:stretch>
      </xdr:blipFill>
      <xdr:spPr>
        <a:xfrm>
          <a:off x="1309688" y="71438"/>
          <a:ext cx="1869276" cy="8740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152400</xdr:colOff>
      <xdr:row>0</xdr:row>
      <xdr:rowOff>136028</xdr:rowOff>
    </xdr:from>
    <xdr:to>
      <xdr:col>11</xdr:col>
      <xdr:colOff>171450</xdr:colOff>
      <xdr:row>16</xdr:row>
      <xdr:rowOff>85214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5486400" y="136028"/>
          <a:ext cx="3067050" cy="29971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14</xdr:col>
      <xdr:colOff>628650</xdr:colOff>
      <xdr:row>194</xdr:row>
      <xdr:rowOff>0</xdr:rowOff>
    </xdr:from>
    <xdr:ext cx="65" cy="172227"/>
    <xdr:sp macro="" textlink="">
      <xdr:nvSpPr>
        <xdr:cNvPr id="30" name="CuadroTexto 29">
          <a:extLst>
            <a:ext uri="{FF2B5EF4-FFF2-40B4-BE49-F238E27FC236}">
              <a16:creationId xmlns:a16="http://schemas.microsoft.com/office/drawing/2014/main" id="{00000000-0008-0000-0200-00001E000000}"/>
            </a:ext>
          </a:extLst>
        </xdr:cNvPr>
        <xdr:cNvSpPr txBox="1"/>
      </xdr:nvSpPr>
      <xdr:spPr>
        <a:xfrm>
          <a:off x="15506700" y="4829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4</xdr:col>
      <xdr:colOff>628650</xdr:colOff>
      <xdr:row>100</xdr:row>
      <xdr:rowOff>290512</xdr:rowOff>
    </xdr:from>
    <xdr:ext cx="65" cy="172227"/>
    <xdr:sp macro="" textlink="">
      <xdr:nvSpPr>
        <xdr:cNvPr id="32" name="CuadroTexto 31">
          <a:extLst>
            <a:ext uri="{FF2B5EF4-FFF2-40B4-BE49-F238E27FC236}">
              <a16:creationId xmlns:a16="http://schemas.microsoft.com/office/drawing/2014/main" id="{00000000-0008-0000-0200-000020000000}"/>
            </a:ext>
          </a:extLst>
        </xdr:cNvPr>
        <xdr:cNvSpPr txBox="1"/>
      </xdr:nvSpPr>
      <xdr:spPr>
        <a:xfrm>
          <a:off x="50958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100</xdr:row>
      <xdr:rowOff>290512</xdr:rowOff>
    </xdr:from>
    <xdr:ext cx="65" cy="172227"/>
    <xdr:sp macro="" textlink="">
      <xdr:nvSpPr>
        <xdr:cNvPr id="33" name="CuadroTexto 32">
          <a:extLst>
            <a:ext uri="{FF2B5EF4-FFF2-40B4-BE49-F238E27FC236}">
              <a16:creationId xmlns:a16="http://schemas.microsoft.com/office/drawing/2014/main" id="{00000000-0008-0000-0200-000021000000}"/>
            </a:ext>
          </a:extLst>
        </xdr:cNvPr>
        <xdr:cNvSpPr txBox="1"/>
      </xdr:nvSpPr>
      <xdr:spPr>
        <a:xfrm>
          <a:off x="59436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100</xdr:row>
      <xdr:rowOff>290512</xdr:rowOff>
    </xdr:from>
    <xdr:ext cx="65" cy="172227"/>
    <xdr:sp macro="" textlink="">
      <xdr:nvSpPr>
        <xdr:cNvPr id="34" name="CuadroTexto 33">
          <a:extLst>
            <a:ext uri="{FF2B5EF4-FFF2-40B4-BE49-F238E27FC236}">
              <a16:creationId xmlns:a16="http://schemas.microsoft.com/office/drawing/2014/main" id="{00000000-0008-0000-0200-000022000000}"/>
            </a:ext>
          </a:extLst>
        </xdr:cNvPr>
        <xdr:cNvSpPr txBox="1"/>
      </xdr:nvSpPr>
      <xdr:spPr>
        <a:xfrm>
          <a:off x="67151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100</xdr:row>
      <xdr:rowOff>290512</xdr:rowOff>
    </xdr:from>
    <xdr:ext cx="65" cy="172227"/>
    <xdr:sp macro="" textlink="">
      <xdr:nvSpPr>
        <xdr:cNvPr id="35" name="CuadroTexto 34">
          <a:extLst>
            <a:ext uri="{FF2B5EF4-FFF2-40B4-BE49-F238E27FC236}">
              <a16:creationId xmlns:a16="http://schemas.microsoft.com/office/drawing/2014/main" id="{00000000-0008-0000-0200-000023000000}"/>
            </a:ext>
          </a:extLst>
        </xdr:cNvPr>
        <xdr:cNvSpPr txBox="1"/>
      </xdr:nvSpPr>
      <xdr:spPr>
        <a:xfrm>
          <a:off x="74866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100</xdr:row>
      <xdr:rowOff>290512</xdr:rowOff>
    </xdr:from>
    <xdr:ext cx="65" cy="172227"/>
    <xdr:sp macro="" textlink="">
      <xdr:nvSpPr>
        <xdr:cNvPr id="36" name="CuadroTexto 35">
          <a:extLst>
            <a:ext uri="{FF2B5EF4-FFF2-40B4-BE49-F238E27FC236}">
              <a16:creationId xmlns:a16="http://schemas.microsoft.com/office/drawing/2014/main" id="{00000000-0008-0000-0200-000024000000}"/>
            </a:ext>
          </a:extLst>
        </xdr:cNvPr>
        <xdr:cNvSpPr txBox="1"/>
      </xdr:nvSpPr>
      <xdr:spPr>
        <a:xfrm>
          <a:off x="83343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100</xdr:row>
      <xdr:rowOff>290512</xdr:rowOff>
    </xdr:from>
    <xdr:ext cx="65" cy="172227"/>
    <xdr:sp macro="" textlink="">
      <xdr:nvSpPr>
        <xdr:cNvPr id="37" name="CuadroTexto 36">
          <a:extLst>
            <a:ext uri="{FF2B5EF4-FFF2-40B4-BE49-F238E27FC236}">
              <a16:creationId xmlns:a16="http://schemas.microsoft.com/office/drawing/2014/main" id="{00000000-0008-0000-0200-000025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100</xdr:row>
      <xdr:rowOff>290512</xdr:rowOff>
    </xdr:from>
    <xdr:ext cx="65" cy="172227"/>
    <xdr:sp macro="" textlink="">
      <xdr:nvSpPr>
        <xdr:cNvPr id="38" name="CuadroTexto 37">
          <a:extLst>
            <a:ext uri="{FF2B5EF4-FFF2-40B4-BE49-F238E27FC236}">
              <a16:creationId xmlns:a16="http://schemas.microsoft.com/office/drawing/2014/main" id="{00000000-0008-0000-0200-000026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100</xdr:row>
      <xdr:rowOff>290512</xdr:rowOff>
    </xdr:from>
    <xdr:ext cx="65" cy="172227"/>
    <xdr:sp macro="" textlink="">
      <xdr:nvSpPr>
        <xdr:cNvPr id="39" name="CuadroTexto 38">
          <a:extLst>
            <a:ext uri="{FF2B5EF4-FFF2-40B4-BE49-F238E27FC236}">
              <a16:creationId xmlns:a16="http://schemas.microsoft.com/office/drawing/2014/main" id="{00000000-0008-0000-0200-000027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100</xdr:row>
      <xdr:rowOff>290512</xdr:rowOff>
    </xdr:from>
    <xdr:ext cx="65" cy="172227"/>
    <xdr:sp macro="" textlink="">
      <xdr:nvSpPr>
        <xdr:cNvPr id="40" name="CuadroTexto 39">
          <a:extLst>
            <a:ext uri="{FF2B5EF4-FFF2-40B4-BE49-F238E27FC236}">
              <a16:creationId xmlns:a16="http://schemas.microsoft.com/office/drawing/2014/main" id="{00000000-0008-0000-0200-000028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100</xdr:row>
      <xdr:rowOff>290512</xdr:rowOff>
    </xdr:from>
    <xdr:ext cx="65" cy="172227"/>
    <xdr:sp macro="" textlink="">
      <xdr:nvSpPr>
        <xdr:cNvPr id="41" name="CuadroTexto 40">
          <a:extLst>
            <a:ext uri="{FF2B5EF4-FFF2-40B4-BE49-F238E27FC236}">
              <a16:creationId xmlns:a16="http://schemas.microsoft.com/office/drawing/2014/main" id="{00000000-0008-0000-0200-000029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100</xdr:row>
      <xdr:rowOff>290512</xdr:rowOff>
    </xdr:from>
    <xdr:ext cx="65" cy="172227"/>
    <xdr:sp macro="" textlink="">
      <xdr:nvSpPr>
        <xdr:cNvPr id="42" name="CuadroTexto 41">
          <a:extLst>
            <a:ext uri="{FF2B5EF4-FFF2-40B4-BE49-F238E27FC236}">
              <a16:creationId xmlns:a16="http://schemas.microsoft.com/office/drawing/2014/main" id="{00000000-0008-0000-0200-00002A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101</xdr:row>
      <xdr:rowOff>290512</xdr:rowOff>
    </xdr:from>
    <xdr:ext cx="65" cy="172227"/>
    <xdr:sp macro="" textlink="">
      <xdr:nvSpPr>
        <xdr:cNvPr id="43" name="CuadroTexto 42">
          <a:extLst>
            <a:ext uri="{FF2B5EF4-FFF2-40B4-BE49-F238E27FC236}">
              <a16:creationId xmlns:a16="http://schemas.microsoft.com/office/drawing/2014/main" id="{00000000-0008-0000-0200-00002B000000}"/>
            </a:ext>
          </a:extLst>
        </xdr:cNvPr>
        <xdr:cNvSpPr txBox="1"/>
      </xdr:nvSpPr>
      <xdr:spPr>
        <a:xfrm>
          <a:off x="11649075" y="2127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1</xdr:colOff>
      <xdr:row>75</xdr:row>
      <xdr:rowOff>335076</xdr:rowOff>
    </xdr:from>
    <xdr:to>
      <xdr:col>7</xdr:col>
      <xdr:colOff>133351</xdr:colOff>
      <xdr:row>77</xdr:row>
      <xdr:rowOff>476250</xdr:rowOff>
    </xdr:to>
    <xdr:sp macro="" textlink="">
      <xdr:nvSpPr>
        <xdr:cNvPr id="44" name="Rectángulo redondeado 43">
          <a:extLst>
            <a:ext uri="{FF2B5EF4-FFF2-40B4-BE49-F238E27FC236}">
              <a16:creationId xmlns:a16="http://schemas.microsoft.com/office/drawing/2014/main" id="{00000000-0008-0000-0200-00002C000000}"/>
            </a:ext>
          </a:extLst>
        </xdr:cNvPr>
        <xdr:cNvSpPr/>
      </xdr:nvSpPr>
      <xdr:spPr>
        <a:xfrm>
          <a:off x="1" y="26757426"/>
          <a:ext cx="8077200" cy="1169874"/>
        </a:xfrm>
        <a:prstGeom prst="roundRect">
          <a:avLst/>
        </a:prstGeom>
        <a:solidFill>
          <a:schemeClr val="accent2"/>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19</xdr:col>
      <xdr:colOff>268433</xdr:colOff>
      <xdr:row>7</xdr:row>
      <xdr:rowOff>17316</xdr:rowOff>
    </xdr:from>
    <xdr:to>
      <xdr:col>23</xdr:col>
      <xdr:colOff>268432</xdr:colOff>
      <xdr:row>11</xdr:row>
      <xdr:rowOff>346363</xdr:rowOff>
    </xdr:to>
    <xdr:graphicFrame macro="">
      <xdr:nvGraphicFramePr>
        <xdr:cNvPr id="54" name="Gráfico 53">
          <a:extLst>
            <a:ext uri="{FF2B5EF4-FFF2-40B4-BE49-F238E27FC236}">
              <a16:creationId xmlns:a16="http://schemas.microsoft.com/office/drawing/2014/main" id="{00000000-0008-0000-02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55" name="Gráfico 54">
          <a:extLst>
            <a:ext uri="{FF2B5EF4-FFF2-40B4-BE49-F238E27FC236}">
              <a16:creationId xmlns:a16="http://schemas.microsoft.com/office/drawing/2014/main" id="{00000000-0008-0000-02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10</xdr:col>
      <xdr:colOff>51688</xdr:colOff>
      <xdr:row>5</xdr:row>
      <xdr:rowOff>21852</xdr:rowOff>
    </xdr:from>
    <xdr:ext cx="707536" cy="236155"/>
    <mc:AlternateContent xmlns:mc="http://schemas.openxmlformats.org/markup-compatibility/2006" xmlns:a14="http://schemas.microsoft.com/office/drawing/2010/main">
      <mc:Choice Requires="a14">
        <xdr:sp macro="" textlink="">
          <xdr:nvSpPr>
            <xdr:cNvPr id="59" name="CuadroTexto 58">
              <a:extLst>
                <a:ext uri="{FF2B5EF4-FFF2-40B4-BE49-F238E27FC236}">
                  <a16:creationId xmlns:a16="http://schemas.microsoft.com/office/drawing/2014/main" id="{00000000-0008-0000-0200-00003B000000}"/>
                </a:ext>
              </a:extLst>
            </xdr:cNvPr>
            <xdr:cNvSpPr txBox="1"/>
          </xdr:nvSpPr>
          <xdr:spPr>
            <a:xfrm>
              <a:off x="15067570" y="1926852"/>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59" name="CuadroTexto 58">
              <a:extLst>
                <a:ext uri="{FF2B5EF4-FFF2-40B4-BE49-F238E27FC236}">
                  <a16:creationId xmlns:a16="http://schemas.microsoft.com/office/drawing/2014/main" xmlns="" xmlns:a14="http://schemas.microsoft.com/office/drawing/2010/main" id="{00000000-0008-0000-0100-00003B000000}"/>
                </a:ext>
              </a:extLst>
            </xdr:cNvPr>
            <xdr:cNvSpPr txBox="1"/>
          </xdr:nvSpPr>
          <xdr:spPr>
            <a:xfrm>
              <a:off x="15067570" y="1926852"/>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(𝜹</a:t>
              </a:r>
              <a:r>
                <a:rPr lang="es-CO" sz="1400" b="1" i="0">
                  <a:latin typeface="Cambria Math"/>
                  <a:ea typeface="Cambria Math" panose="02040503050406030204" pitchFamily="18" charset="0"/>
                </a:rPr>
                <a:t>〗_(</a:t>
              </a:r>
              <a:r>
                <a:rPr lang="es-CO" sz="1400" b="1" i="0">
                  <a:latin typeface="Cambria Math" panose="02040503050406030204" pitchFamily="18" charset="0"/>
                  <a:ea typeface="Cambria Math" panose="02040503050406030204" pitchFamily="18" charset="0"/>
                </a:rPr>
                <a:t>𝒅𝒓𝒊𝒇𝒕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a:t>
              </a:r>
              <a:endParaRPr lang="es-CO" sz="1400" b="1"/>
            </a:p>
          </xdr:txBody>
        </xdr:sp>
      </mc:Fallback>
    </mc:AlternateContent>
    <xdr:clientData/>
  </xdr:oneCellAnchor>
  <xdr:oneCellAnchor>
    <xdr:from>
      <xdr:col>0</xdr:col>
      <xdr:colOff>400050</xdr:colOff>
      <xdr:row>68</xdr:row>
      <xdr:rowOff>200025</xdr:rowOff>
    </xdr:from>
    <xdr:ext cx="492507" cy="43832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200-000002000000}"/>
                </a:ext>
              </a:extLst>
            </xdr:cNvPr>
            <xdr:cNvSpPr txBox="1"/>
          </xdr:nvSpPr>
          <xdr:spPr>
            <a:xfrm>
              <a:off x="400050" y="23021925"/>
              <a:ext cx="492507"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2800" b="1" i="1">
                            <a:latin typeface="Cambria Math" panose="02040503050406030204" pitchFamily="18" charset="0"/>
                          </a:rPr>
                        </m:ctrlPr>
                      </m:sSubPr>
                      <m:e>
                        <m:r>
                          <a:rPr lang="es-CO" sz="2800" b="1" i="1">
                            <a:latin typeface="Cambria Math" panose="02040503050406030204" pitchFamily="18" charset="0"/>
                            <a:ea typeface="Cambria Math" panose="02040503050406030204" pitchFamily="18" charset="0"/>
                          </a:rPr>
                          <m:t>𝝆</m:t>
                        </m:r>
                      </m:e>
                      <m:sub>
                        <m:r>
                          <a:rPr lang="es-MX" sz="2800" b="1" i="1">
                            <a:latin typeface="Cambria Math" panose="02040503050406030204" pitchFamily="18" charset="0"/>
                          </a:rPr>
                          <m:t>𝑨</m:t>
                        </m:r>
                      </m:sub>
                    </m:sSub>
                  </m:oMath>
                </m:oMathPara>
              </a14:m>
              <a:endParaRPr lang="es-CO" sz="2800" b="1"/>
            </a:p>
          </xdr:txBody>
        </xdr:sp>
      </mc:Choice>
      <mc:Fallback xmlns="">
        <xdr:sp macro="" textlink="">
          <xdr:nvSpPr>
            <xdr:cNvPr id="2" name="CuadroTexto 1"/>
            <xdr:cNvSpPr txBox="1"/>
          </xdr:nvSpPr>
          <xdr:spPr>
            <a:xfrm>
              <a:off x="400050" y="23021925"/>
              <a:ext cx="492507"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2800" b="1" i="0">
                  <a:latin typeface="Cambria Math" panose="02040503050406030204" pitchFamily="18" charset="0"/>
                  <a:ea typeface="Cambria Math" panose="02040503050406030204" pitchFamily="18" charset="0"/>
                </a:rPr>
                <a:t>𝝆_</a:t>
              </a:r>
              <a:r>
                <a:rPr lang="es-MX" sz="2800" b="1" i="0">
                  <a:latin typeface="Cambria Math" panose="02040503050406030204" pitchFamily="18" charset="0"/>
                </a:rPr>
                <a:t>𝑨</a:t>
              </a:r>
              <a:endParaRPr lang="es-CO" sz="2800" b="1"/>
            </a:p>
          </xdr:txBody>
        </xdr:sp>
      </mc:Fallback>
    </mc:AlternateContent>
    <xdr:clientData/>
  </xdr:oneCellAnchor>
  <xdr:oneCellAnchor>
    <xdr:from>
      <xdr:col>0</xdr:col>
      <xdr:colOff>133350</xdr:colOff>
      <xdr:row>76</xdr:row>
      <xdr:rowOff>47625</xdr:rowOff>
    </xdr:from>
    <xdr:ext cx="7762875" cy="82984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200-000016000000}"/>
                </a:ext>
              </a:extLst>
            </xdr:cNvPr>
            <xdr:cNvSpPr txBox="1"/>
          </xdr:nvSpPr>
          <xdr:spPr>
            <a:xfrm>
              <a:off x="133350" y="26984325"/>
              <a:ext cx="7762875" cy="8298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2400" i="1">
                            <a:latin typeface="Cambria Math" panose="02040503050406030204" pitchFamily="18" charset="0"/>
                          </a:rPr>
                        </m:ctrlPr>
                      </m:sSubPr>
                      <m:e>
                        <m:r>
                          <a:rPr lang="es-MX" sz="2400" b="0" i="1">
                            <a:latin typeface="Cambria Math" panose="02040503050406030204" pitchFamily="18" charset="0"/>
                          </a:rPr>
                          <m:t>𝑉</m:t>
                        </m:r>
                      </m:e>
                      <m:sub>
                        <m:r>
                          <a:rPr lang="es-MX" sz="2400" b="0" i="1">
                            <a:latin typeface="Cambria Math" panose="02040503050406030204" pitchFamily="18" charset="0"/>
                          </a:rPr>
                          <m:t>0</m:t>
                        </m:r>
                      </m:sub>
                    </m:sSub>
                    <m:r>
                      <a:rPr lang="es-MX" sz="2400" b="0" i="1">
                        <a:latin typeface="Cambria Math" panose="02040503050406030204" pitchFamily="18" charset="0"/>
                      </a:rPr>
                      <m:t>=</m:t>
                    </m:r>
                    <m:d>
                      <m:dPr>
                        <m:ctrlPr>
                          <a:rPr lang="es-MX" sz="2400" b="0" i="1">
                            <a:latin typeface="Cambria Math" panose="02040503050406030204" pitchFamily="18" charset="0"/>
                          </a:rPr>
                        </m:ctrlPr>
                      </m:dPr>
                      <m:e>
                        <m:sSub>
                          <m:sSubPr>
                            <m:ctrlPr>
                              <a:rPr lang="es-MX" sz="2400" b="0" i="1">
                                <a:latin typeface="Cambria Math" panose="02040503050406030204" pitchFamily="18" charset="0"/>
                              </a:rPr>
                            </m:ctrlPr>
                          </m:sSubPr>
                          <m:e>
                            <m:r>
                              <a:rPr lang="es-MX" sz="2400" b="0" i="1">
                                <a:latin typeface="Cambria Math" panose="02040503050406030204" pitchFamily="18" charset="0"/>
                              </a:rPr>
                              <m:t>𝐼</m:t>
                            </m:r>
                          </m:e>
                          <m:sub>
                            <m:r>
                              <a:rPr lang="es-MX" sz="2400" b="0" i="1">
                                <a:latin typeface="Cambria Math" panose="02040503050406030204" pitchFamily="18" charset="0"/>
                              </a:rPr>
                              <m:t>𝐿</m:t>
                            </m:r>
                          </m:sub>
                        </m:sSub>
                        <m:r>
                          <a:rPr lang="es-MX" sz="2400" b="0" i="1">
                            <a:latin typeface="Cambria Math" panose="02040503050406030204" pitchFamily="18" charset="0"/>
                          </a:rPr>
                          <m:t>−</m:t>
                        </m:r>
                        <m:sSub>
                          <m:sSubPr>
                            <m:ctrlPr>
                              <a:rPr lang="es-MX" sz="2400" b="0" i="1">
                                <a:latin typeface="Cambria Math" panose="02040503050406030204" pitchFamily="18" charset="0"/>
                              </a:rPr>
                            </m:ctrlPr>
                          </m:sSubPr>
                          <m:e>
                            <m:r>
                              <a:rPr lang="es-MX" sz="2400" b="0" i="1">
                                <a:latin typeface="Cambria Math" panose="02040503050406030204" pitchFamily="18" charset="0"/>
                              </a:rPr>
                              <m:t>𝐼</m:t>
                            </m:r>
                          </m:e>
                          <m:sub>
                            <m:r>
                              <a:rPr lang="es-MX" sz="2400" b="0" i="1">
                                <a:latin typeface="Cambria Math" panose="02040503050406030204" pitchFamily="18" charset="0"/>
                              </a:rPr>
                              <m:t>𝐸</m:t>
                            </m:r>
                          </m:sub>
                        </m:sSub>
                      </m:e>
                    </m:d>
                    <m:r>
                      <a:rPr lang="es-MX" sz="2400" b="0" i="1">
                        <a:latin typeface="Cambria Math" panose="02040503050406030204" pitchFamily="18" charset="0"/>
                      </a:rPr>
                      <m:t>∗</m:t>
                    </m:r>
                    <m:f>
                      <m:fPr>
                        <m:ctrlPr>
                          <a:rPr lang="es-MX" sz="2400" b="0" i="1">
                            <a:latin typeface="Cambria Math" panose="02040503050406030204" pitchFamily="18" charset="0"/>
                          </a:rPr>
                        </m:ctrlPr>
                      </m:fPr>
                      <m:num>
                        <m:r>
                          <a:rPr lang="es-MX" sz="2400" b="0" i="1">
                            <a:latin typeface="Cambria Math" panose="02040503050406030204" pitchFamily="18" charset="0"/>
                          </a:rPr>
                          <m:t>1</m:t>
                        </m:r>
                      </m:num>
                      <m:den>
                        <m:sSub>
                          <m:sSubPr>
                            <m:ctrlPr>
                              <a:rPr lang="es-MX" sz="2400" b="0" i="1">
                                <a:latin typeface="Cambria Math" panose="02040503050406030204" pitchFamily="18" charset="0"/>
                              </a:rPr>
                            </m:ctrlPr>
                          </m:sSubPr>
                          <m:e>
                            <m:r>
                              <a:rPr lang="es-MX" sz="2400" b="0" i="1">
                                <a:latin typeface="Cambria Math" panose="02040503050406030204" pitchFamily="18" charset="0"/>
                                <a:ea typeface="Cambria Math" panose="02040503050406030204" pitchFamily="18" charset="0"/>
                              </a:rPr>
                              <m:t>𝜌</m:t>
                            </m:r>
                          </m:e>
                          <m:sub>
                            <m:r>
                              <a:rPr lang="es-MX" sz="2400" b="0" i="1">
                                <a:latin typeface="Cambria Math" panose="02040503050406030204" pitchFamily="18" charset="0"/>
                              </a:rPr>
                              <m:t>𝑊</m:t>
                            </m:r>
                          </m:sub>
                        </m:sSub>
                        <m:r>
                          <a:rPr lang="es-MX" sz="2400" b="0" i="1">
                            <a:latin typeface="Cambria Math" panose="02040503050406030204" pitchFamily="18" charset="0"/>
                          </a:rPr>
                          <m:t>−</m:t>
                        </m:r>
                        <m:sSub>
                          <m:sSubPr>
                            <m:ctrlPr>
                              <a:rPr lang="es-MX" sz="2400" b="0" i="1">
                                <a:latin typeface="Cambria Math" panose="02040503050406030204" pitchFamily="18" charset="0"/>
                              </a:rPr>
                            </m:ctrlPr>
                          </m:sSubPr>
                          <m:e>
                            <m:r>
                              <a:rPr lang="es-MX" sz="2400" b="0" i="1">
                                <a:latin typeface="Cambria Math" panose="02040503050406030204" pitchFamily="18" charset="0"/>
                                <a:ea typeface="Cambria Math" panose="02040503050406030204" pitchFamily="18" charset="0"/>
                              </a:rPr>
                              <m:t>𝜌</m:t>
                            </m:r>
                          </m:e>
                          <m:sub>
                            <m:r>
                              <a:rPr lang="es-MX" sz="2400" b="0" i="1">
                                <a:latin typeface="Cambria Math" panose="02040503050406030204" pitchFamily="18" charset="0"/>
                              </a:rPr>
                              <m:t>𝐴</m:t>
                            </m:r>
                          </m:sub>
                        </m:sSub>
                      </m:den>
                    </m:f>
                    <m:r>
                      <a:rPr lang="es-MX" sz="2400" b="0" i="1">
                        <a:latin typeface="Cambria Math" panose="02040503050406030204" pitchFamily="18" charset="0"/>
                      </a:rPr>
                      <m:t>∗</m:t>
                    </m:r>
                    <m:d>
                      <m:dPr>
                        <m:ctrlPr>
                          <a:rPr lang="es-MX" sz="2400" b="0" i="1">
                            <a:latin typeface="Cambria Math" panose="02040503050406030204" pitchFamily="18" charset="0"/>
                          </a:rPr>
                        </m:ctrlPr>
                      </m:dPr>
                      <m:e>
                        <m:r>
                          <a:rPr lang="es-MX" sz="2400" b="0" i="1">
                            <a:latin typeface="Cambria Math" panose="02040503050406030204" pitchFamily="18" charset="0"/>
                          </a:rPr>
                          <m:t>1−</m:t>
                        </m:r>
                        <m:f>
                          <m:fPr>
                            <m:ctrlPr>
                              <a:rPr lang="es-MX" sz="2400" b="0" i="1">
                                <a:latin typeface="Cambria Math" panose="02040503050406030204" pitchFamily="18" charset="0"/>
                              </a:rPr>
                            </m:ctrlPr>
                          </m:fPr>
                          <m:num>
                            <m:sSub>
                              <m:sSubPr>
                                <m:ctrlPr>
                                  <a:rPr lang="es-MX" sz="2400" b="0" i="1">
                                    <a:latin typeface="Cambria Math" panose="02040503050406030204" pitchFamily="18" charset="0"/>
                                  </a:rPr>
                                </m:ctrlPr>
                              </m:sSubPr>
                              <m:e>
                                <m:r>
                                  <a:rPr lang="es-MX" sz="2400" b="0" i="1">
                                    <a:latin typeface="Cambria Math" panose="02040503050406030204" pitchFamily="18" charset="0"/>
                                    <a:ea typeface="Cambria Math" panose="02040503050406030204" pitchFamily="18" charset="0"/>
                                  </a:rPr>
                                  <m:t>𝜌</m:t>
                                </m:r>
                              </m:e>
                              <m:sub>
                                <m:r>
                                  <a:rPr lang="es-MX" sz="2400" b="0" i="1">
                                    <a:latin typeface="Cambria Math" panose="02040503050406030204" pitchFamily="18" charset="0"/>
                                  </a:rPr>
                                  <m:t>𝐴</m:t>
                                </m:r>
                              </m:sub>
                            </m:sSub>
                          </m:num>
                          <m:den>
                            <m:sSub>
                              <m:sSubPr>
                                <m:ctrlPr>
                                  <a:rPr lang="es-MX" sz="2400" b="0" i="1">
                                    <a:latin typeface="Cambria Math" panose="02040503050406030204" pitchFamily="18" charset="0"/>
                                  </a:rPr>
                                </m:ctrlPr>
                              </m:sSubPr>
                              <m:e>
                                <m:r>
                                  <a:rPr lang="es-MX" sz="2400" b="0" i="1">
                                    <a:latin typeface="Cambria Math" panose="02040503050406030204" pitchFamily="18" charset="0"/>
                                    <a:ea typeface="Cambria Math" panose="02040503050406030204" pitchFamily="18" charset="0"/>
                                  </a:rPr>
                                  <m:t>𝜌</m:t>
                                </m:r>
                              </m:e>
                              <m:sub>
                                <m:r>
                                  <a:rPr lang="es-MX" sz="2400" b="0" i="1">
                                    <a:latin typeface="Cambria Math" panose="02040503050406030204" pitchFamily="18" charset="0"/>
                                  </a:rPr>
                                  <m:t>𝐵</m:t>
                                </m:r>
                              </m:sub>
                            </m:sSub>
                          </m:den>
                        </m:f>
                      </m:e>
                    </m:d>
                    <m:r>
                      <a:rPr lang="es-MX" sz="2400" b="0" i="1">
                        <a:latin typeface="Cambria Math" panose="02040503050406030204" pitchFamily="18" charset="0"/>
                      </a:rPr>
                      <m:t>∗</m:t>
                    </m:r>
                    <m:d>
                      <m:dPr>
                        <m:begChr m:val="["/>
                        <m:endChr m:val="]"/>
                        <m:ctrlPr>
                          <a:rPr lang="es-MX" sz="2400" b="0" i="1">
                            <a:latin typeface="Cambria Math" panose="02040503050406030204" pitchFamily="18" charset="0"/>
                          </a:rPr>
                        </m:ctrlPr>
                      </m:dPr>
                      <m:e>
                        <m:r>
                          <a:rPr lang="es-MX" sz="2400" b="0" i="1">
                            <a:latin typeface="Cambria Math" panose="02040503050406030204" pitchFamily="18" charset="0"/>
                          </a:rPr>
                          <m:t>1−</m:t>
                        </m:r>
                        <m:r>
                          <a:rPr lang="es-MX" sz="2400" b="0" i="1">
                            <a:latin typeface="Cambria Math" panose="02040503050406030204" pitchFamily="18" charset="0"/>
                            <a:ea typeface="Cambria Math" panose="02040503050406030204" pitchFamily="18" charset="0"/>
                          </a:rPr>
                          <m:t>𝛾</m:t>
                        </m:r>
                        <m:d>
                          <m:dPr>
                            <m:ctrlPr>
                              <a:rPr lang="es-MX" sz="2400" b="0" i="1">
                                <a:latin typeface="Cambria Math" panose="02040503050406030204" pitchFamily="18" charset="0"/>
                                <a:ea typeface="Cambria Math" panose="02040503050406030204" pitchFamily="18" charset="0"/>
                              </a:rPr>
                            </m:ctrlPr>
                          </m:dPr>
                          <m:e>
                            <m:r>
                              <a:rPr lang="es-MX" sz="2400" b="0" i="1">
                                <a:latin typeface="Cambria Math" panose="02040503050406030204" pitchFamily="18" charset="0"/>
                                <a:ea typeface="Cambria Math" panose="02040503050406030204" pitchFamily="18" charset="0"/>
                              </a:rPr>
                              <m:t>𝑡</m:t>
                            </m:r>
                            <m:r>
                              <a:rPr lang="es-MX" sz="2400" b="0" i="1">
                                <a:latin typeface="Cambria Math" panose="02040503050406030204" pitchFamily="18" charset="0"/>
                                <a:ea typeface="Cambria Math" panose="02040503050406030204" pitchFamily="18" charset="0"/>
                              </a:rPr>
                              <m:t>−</m:t>
                            </m:r>
                            <m:sSub>
                              <m:sSubPr>
                                <m:ctrlPr>
                                  <a:rPr lang="es-MX" sz="2400" b="0" i="1">
                                    <a:latin typeface="Cambria Math" panose="02040503050406030204" pitchFamily="18" charset="0"/>
                                    <a:ea typeface="Cambria Math" panose="02040503050406030204" pitchFamily="18" charset="0"/>
                                  </a:rPr>
                                </m:ctrlPr>
                              </m:sSubPr>
                              <m:e>
                                <m:r>
                                  <a:rPr lang="es-MX" sz="2400" b="0" i="1">
                                    <a:latin typeface="Cambria Math" panose="02040503050406030204" pitchFamily="18" charset="0"/>
                                    <a:ea typeface="Cambria Math" panose="02040503050406030204" pitchFamily="18" charset="0"/>
                                  </a:rPr>
                                  <m:t>𝑡</m:t>
                                </m:r>
                              </m:e>
                              <m:sub>
                                <m:r>
                                  <a:rPr lang="es-MX" sz="2400" b="0" i="1">
                                    <a:latin typeface="Cambria Math" panose="02040503050406030204" pitchFamily="18" charset="0"/>
                                    <a:ea typeface="Cambria Math" panose="02040503050406030204" pitchFamily="18" charset="0"/>
                                  </a:rPr>
                                  <m:t>0</m:t>
                                </m:r>
                              </m:sub>
                            </m:sSub>
                          </m:e>
                        </m:d>
                      </m:e>
                    </m:d>
                  </m:oMath>
                </m:oMathPara>
              </a14:m>
              <a:endParaRPr lang="es-CO" sz="2400"/>
            </a:p>
          </xdr:txBody>
        </xdr:sp>
      </mc:Choice>
      <mc:Fallback xmlns="">
        <xdr:sp macro="" textlink="">
          <xdr:nvSpPr>
            <xdr:cNvPr id="22" name="CuadroTexto 21"/>
            <xdr:cNvSpPr txBox="1"/>
          </xdr:nvSpPr>
          <xdr:spPr>
            <a:xfrm>
              <a:off x="133350" y="26984325"/>
              <a:ext cx="7762875" cy="8298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MX" sz="2400" b="0" i="0">
                  <a:latin typeface="Cambria Math" panose="02040503050406030204" pitchFamily="18" charset="0"/>
                </a:rPr>
                <a:t>𝑉</a:t>
              </a:r>
              <a:r>
                <a:rPr lang="es-CO" sz="2400" b="0" i="0">
                  <a:latin typeface="Cambria Math" panose="02040503050406030204" pitchFamily="18" charset="0"/>
                </a:rPr>
                <a:t>_</a:t>
              </a:r>
              <a:r>
                <a:rPr lang="es-MX" sz="2400" b="0" i="0">
                  <a:latin typeface="Cambria Math" panose="02040503050406030204" pitchFamily="18" charset="0"/>
                </a:rPr>
                <a:t>0=(𝐼_𝐿−𝐼_𝐸 )∗1/(</a:t>
              </a:r>
              <a:r>
                <a:rPr lang="es-MX" sz="2400" b="0" i="0">
                  <a:latin typeface="Cambria Math" panose="02040503050406030204" pitchFamily="18" charset="0"/>
                  <a:ea typeface="Cambria Math" panose="02040503050406030204" pitchFamily="18" charset="0"/>
                </a:rPr>
                <a:t>𝜌_</a:t>
              </a:r>
              <a:r>
                <a:rPr lang="es-MX" sz="2400" b="0" i="0">
                  <a:latin typeface="Cambria Math" panose="02040503050406030204" pitchFamily="18" charset="0"/>
                </a:rPr>
                <a:t>𝑊−</a:t>
              </a:r>
              <a:r>
                <a:rPr lang="es-MX" sz="2400" b="0" i="0">
                  <a:latin typeface="Cambria Math" panose="02040503050406030204" pitchFamily="18" charset="0"/>
                  <a:ea typeface="Cambria Math" panose="02040503050406030204" pitchFamily="18" charset="0"/>
                </a:rPr>
                <a:t>𝜌_</a:t>
              </a:r>
              <a:r>
                <a:rPr lang="es-MX" sz="2400" b="0" i="0">
                  <a:latin typeface="Cambria Math" panose="02040503050406030204" pitchFamily="18" charset="0"/>
                </a:rPr>
                <a:t>𝐴 )∗(1−</a:t>
              </a:r>
              <a:r>
                <a:rPr lang="es-MX" sz="2400" b="0" i="0">
                  <a:latin typeface="Cambria Math" panose="02040503050406030204" pitchFamily="18" charset="0"/>
                  <a:ea typeface="Cambria Math" panose="02040503050406030204" pitchFamily="18" charset="0"/>
                </a:rPr>
                <a:t>𝜌_</a:t>
              </a:r>
              <a:r>
                <a:rPr lang="es-MX" sz="2400" b="0" i="0">
                  <a:latin typeface="Cambria Math" panose="02040503050406030204" pitchFamily="18" charset="0"/>
                </a:rPr>
                <a:t>𝐴/</a:t>
              </a:r>
              <a:r>
                <a:rPr lang="es-MX" sz="2400" b="0" i="0">
                  <a:latin typeface="Cambria Math" panose="02040503050406030204" pitchFamily="18" charset="0"/>
                  <a:ea typeface="Cambria Math" panose="02040503050406030204" pitchFamily="18" charset="0"/>
                </a:rPr>
                <a:t>𝜌_</a:t>
              </a:r>
              <a:r>
                <a:rPr lang="es-MX" sz="2400" b="0" i="0">
                  <a:latin typeface="Cambria Math" panose="02040503050406030204" pitchFamily="18" charset="0"/>
                </a:rPr>
                <a:t>𝐵 )∗[1−</a:t>
              </a:r>
              <a:r>
                <a:rPr lang="es-MX" sz="2400" b="0" i="0">
                  <a:latin typeface="Cambria Math" panose="02040503050406030204" pitchFamily="18" charset="0"/>
                  <a:ea typeface="Cambria Math" panose="02040503050406030204" pitchFamily="18" charset="0"/>
                </a:rPr>
                <a:t>𝛾(𝑡−𝑡_0 )]</a:t>
              </a:r>
              <a:endParaRPr lang="es-CO" sz="2400"/>
            </a:p>
          </xdr:txBody>
        </xdr:sp>
      </mc:Fallback>
    </mc:AlternateContent>
    <xdr:clientData/>
  </xdr:oneCellAnchor>
  <xdr:oneCellAnchor>
    <xdr:from>
      <xdr:col>0</xdr:col>
      <xdr:colOff>1143000</xdr:colOff>
      <xdr:row>78</xdr:row>
      <xdr:rowOff>47625</xdr:rowOff>
    </xdr:from>
    <xdr:ext cx="388824" cy="438325"/>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200-000017000000}"/>
                </a:ext>
              </a:extLst>
            </xdr:cNvPr>
            <xdr:cNvSpPr txBox="1"/>
          </xdr:nvSpPr>
          <xdr:spPr>
            <a:xfrm>
              <a:off x="1143000" y="33138596"/>
              <a:ext cx="388824"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2800" i="1">
                            <a:latin typeface="Cambria Math" panose="02040503050406030204" pitchFamily="18" charset="0"/>
                          </a:rPr>
                        </m:ctrlPr>
                      </m:sSubPr>
                      <m:e>
                        <m:r>
                          <a:rPr lang="es-MX" sz="2800" b="0" i="1">
                            <a:latin typeface="Cambria Math" panose="02040503050406030204" pitchFamily="18" charset="0"/>
                          </a:rPr>
                          <m:t>𝐼</m:t>
                        </m:r>
                      </m:e>
                      <m:sub>
                        <m:r>
                          <a:rPr lang="es-MX" sz="2800" b="0" i="1">
                            <a:latin typeface="Cambria Math" panose="02040503050406030204" pitchFamily="18" charset="0"/>
                          </a:rPr>
                          <m:t>𝐸</m:t>
                        </m:r>
                      </m:sub>
                    </m:sSub>
                  </m:oMath>
                </m:oMathPara>
              </a14:m>
              <a:endParaRPr lang="es-CO" sz="2800"/>
            </a:p>
          </xdr:txBody>
        </xdr:sp>
      </mc:Choice>
      <mc:Fallback xmlns="">
        <xdr:sp macro="" textlink="">
          <xdr:nvSpPr>
            <xdr:cNvPr id="23" name="CuadroTexto 22"/>
            <xdr:cNvSpPr txBox="1"/>
          </xdr:nvSpPr>
          <xdr:spPr>
            <a:xfrm>
              <a:off x="1143000" y="33138596"/>
              <a:ext cx="388824"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2800" b="0" i="0">
                  <a:latin typeface="Cambria Math" panose="02040503050406030204" pitchFamily="18" charset="0"/>
                </a:rPr>
                <a:t>𝐼</a:t>
              </a:r>
              <a:r>
                <a:rPr lang="es-CO" sz="2800" b="0" i="0">
                  <a:latin typeface="Cambria Math"/>
                </a:rPr>
                <a:t>_</a:t>
              </a:r>
              <a:r>
                <a:rPr lang="es-MX" sz="2800" b="0" i="0">
                  <a:latin typeface="Cambria Math" panose="02040503050406030204" pitchFamily="18" charset="0"/>
                </a:rPr>
                <a:t>𝐸</a:t>
              </a:r>
              <a:endParaRPr lang="es-CO" sz="2800"/>
            </a:p>
          </xdr:txBody>
        </xdr:sp>
      </mc:Fallback>
    </mc:AlternateContent>
    <xdr:clientData/>
  </xdr:oneCellAnchor>
  <xdr:oneCellAnchor>
    <xdr:from>
      <xdr:col>0</xdr:col>
      <xdr:colOff>946337</xdr:colOff>
      <xdr:row>79</xdr:row>
      <xdr:rowOff>197224</xdr:rowOff>
    </xdr:from>
    <xdr:ext cx="1074974" cy="266611"/>
    <mc:AlternateContent xmlns:mc="http://schemas.openxmlformats.org/markup-compatibility/2006" xmlns:a14="http://schemas.microsoft.com/office/drawing/2010/main">
      <mc:Choice Requires="a14">
        <xdr:sp macro="" textlink="">
          <xdr:nvSpPr>
            <xdr:cNvPr id="60" name="CuadroTexto 59">
              <a:extLst>
                <a:ext uri="{FF2B5EF4-FFF2-40B4-BE49-F238E27FC236}">
                  <a16:creationId xmlns:a16="http://schemas.microsoft.com/office/drawing/2014/main" id="{00000000-0008-0000-0200-00003C000000}"/>
                </a:ext>
              </a:extLst>
            </xdr:cNvPr>
            <xdr:cNvSpPr txBox="1"/>
          </xdr:nvSpPr>
          <xdr:spPr>
            <a:xfrm>
              <a:off x="946337" y="33803665"/>
              <a:ext cx="1074974" cy="2666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600" i="1">
                            <a:latin typeface="Cambria Math" panose="02040503050406030204" pitchFamily="18" charset="0"/>
                          </a:rPr>
                        </m:ctrlPr>
                      </m:sSubPr>
                      <m:e>
                        <m:r>
                          <a:rPr lang="es-MX" sz="1600" b="0" i="1">
                            <a:latin typeface="Cambria Math" panose="02040503050406030204" pitchFamily="18" charset="0"/>
                          </a:rPr>
                          <m:t>𝐼</m:t>
                        </m:r>
                      </m:e>
                      <m:sub>
                        <m:r>
                          <a:rPr lang="es-MX" sz="1600" b="0" i="1">
                            <a:latin typeface="Cambria Math" panose="02040503050406030204" pitchFamily="18" charset="0"/>
                          </a:rPr>
                          <m:t>𝐸</m:t>
                        </m:r>
                        <m:r>
                          <a:rPr lang="es-MX" sz="1600" b="0" i="1">
                            <a:latin typeface="Cambria Math" panose="02040503050406030204" pitchFamily="18" charset="0"/>
                          </a:rPr>
                          <m:t> </m:t>
                        </m:r>
                        <m:r>
                          <a:rPr lang="es-MX" sz="1600" b="0" i="1">
                            <a:latin typeface="Cambria Math" panose="02040503050406030204" pitchFamily="18" charset="0"/>
                          </a:rPr>
                          <m:t>𝑐𝑜𝑟𝑟𝑒𝑔𝑖𝑑𝑎𝑠</m:t>
                        </m:r>
                      </m:sub>
                    </m:sSub>
                  </m:oMath>
                </m:oMathPara>
              </a14:m>
              <a:endParaRPr lang="es-CO" sz="1600"/>
            </a:p>
          </xdr:txBody>
        </xdr:sp>
      </mc:Choice>
      <mc:Fallback xmlns="">
        <xdr:sp macro="" textlink="">
          <xdr:nvSpPr>
            <xdr:cNvPr id="60" name="CuadroTexto 59"/>
            <xdr:cNvSpPr txBox="1"/>
          </xdr:nvSpPr>
          <xdr:spPr>
            <a:xfrm>
              <a:off x="946337" y="33803665"/>
              <a:ext cx="1074974" cy="2666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600" b="0" i="0">
                  <a:latin typeface="Cambria Math" panose="02040503050406030204" pitchFamily="18" charset="0"/>
                </a:rPr>
                <a:t>𝐼</a:t>
              </a:r>
              <a:r>
                <a:rPr lang="es-CO" sz="1600" b="0" i="0">
                  <a:latin typeface="Cambria Math"/>
                </a:rPr>
                <a:t>_(</a:t>
              </a:r>
              <a:r>
                <a:rPr lang="es-MX" sz="1600" b="0" i="0">
                  <a:latin typeface="Cambria Math" panose="02040503050406030204" pitchFamily="18" charset="0"/>
                </a:rPr>
                <a:t>𝐸 𝑐𝑜𝑟𝑟𝑒𝑔𝑖𝑑𝑎𝑠</a:t>
              </a:r>
              <a:r>
                <a:rPr lang="es-CO" sz="1600" b="0" i="0">
                  <a:latin typeface="Cambria Math"/>
                </a:rPr>
                <a:t>)</a:t>
              </a:r>
              <a:endParaRPr lang="es-CO" sz="1600"/>
            </a:p>
          </xdr:txBody>
        </xdr:sp>
      </mc:Fallback>
    </mc:AlternateContent>
    <xdr:clientData/>
  </xdr:oneCellAnchor>
  <xdr:oneCellAnchor>
    <xdr:from>
      <xdr:col>0</xdr:col>
      <xdr:colOff>1344706</xdr:colOff>
      <xdr:row>80</xdr:row>
      <xdr:rowOff>58830</xdr:rowOff>
    </xdr:from>
    <xdr:ext cx="361509" cy="438325"/>
    <mc:AlternateContent xmlns:mc="http://schemas.openxmlformats.org/markup-compatibility/2006" xmlns:a14="http://schemas.microsoft.com/office/drawing/2010/main">
      <mc:Choice Requires="a14">
        <xdr:sp macro="" textlink="">
          <xdr:nvSpPr>
            <xdr:cNvPr id="61" name="CuadroTexto 60">
              <a:extLst>
                <a:ext uri="{FF2B5EF4-FFF2-40B4-BE49-F238E27FC236}">
                  <a16:creationId xmlns:a16="http://schemas.microsoft.com/office/drawing/2014/main" id="{00000000-0008-0000-0200-00003D000000}"/>
                </a:ext>
              </a:extLst>
            </xdr:cNvPr>
            <xdr:cNvSpPr txBox="1"/>
          </xdr:nvSpPr>
          <xdr:spPr>
            <a:xfrm>
              <a:off x="1344706" y="34180742"/>
              <a:ext cx="361509"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2800" i="1">
                            <a:latin typeface="Cambria Math" panose="02040503050406030204" pitchFamily="18" charset="0"/>
                          </a:rPr>
                        </m:ctrlPr>
                      </m:sSubPr>
                      <m:e>
                        <m:r>
                          <a:rPr lang="es-MX" sz="2800" b="0" i="1">
                            <a:latin typeface="Cambria Math" panose="02040503050406030204" pitchFamily="18" charset="0"/>
                          </a:rPr>
                          <m:t>𝐼</m:t>
                        </m:r>
                      </m:e>
                      <m:sub>
                        <m:r>
                          <a:rPr lang="es-MX" sz="2800" b="0" i="1">
                            <a:latin typeface="Cambria Math" panose="02040503050406030204" pitchFamily="18" charset="0"/>
                          </a:rPr>
                          <m:t>𝐿</m:t>
                        </m:r>
                      </m:sub>
                    </m:sSub>
                  </m:oMath>
                </m:oMathPara>
              </a14:m>
              <a:endParaRPr lang="es-CO" sz="2800"/>
            </a:p>
          </xdr:txBody>
        </xdr:sp>
      </mc:Choice>
      <mc:Fallback xmlns="">
        <xdr:sp macro="" textlink="">
          <xdr:nvSpPr>
            <xdr:cNvPr id="61" name="CuadroTexto 60"/>
            <xdr:cNvSpPr txBox="1"/>
          </xdr:nvSpPr>
          <xdr:spPr>
            <a:xfrm>
              <a:off x="1344706" y="34180742"/>
              <a:ext cx="361509"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2800" b="0" i="0">
                  <a:latin typeface="Cambria Math" panose="02040503050406030204" pitchFamily="18" charset="0"/>
                </a:rPr>
                <a:t>𝐼</a:t>
              </a:r>
              <a:r>
                <a:rPr lang="es-CO" sz="2800" b="0" i="0">
                  <a:latin typeface="Cambria Math"/>
                </a:rPr>
                <a:t>_</a:t>
              </a:r>
              <a:r>
                <a:rPr lang="es-MX" sz="2800" b="0" i="0">
                  <a:latin typeface="Cambria Math" panose="02040503050406030204" pitchFamily="18" charset="0"/>
                </a:rPr>
                <a:t>𝐿</a:t>
              </a:r>
              <a:endParaRPr lang="es-CO" sz="2800"/>
            </a:p>
          </xdr:txBody>
        </xdr:sp>
      </mc:Fallback>
    </mc:AlternateContent>
    <xdr:clientData/>
  </xdr:oneCellAnchor>
  <xdr:oneCellAnchor>
    <xdr:from>
      <xdr:col>0</xdr:col>
      <xdr:colOff>979955</xdr:colOff>
      <xdr:row>81</xdr:row>
      <xdr:rowOff>129988</xdr:rowOff>
    </xdr:from>
    <xdr:ext cx="1059393" cy="266611"/>
    <mc:AlternateContent xmlns:mc="http://schemas.openxmlformats.org/markup-compatibility/2006" xmlns:a14="http://schemas.microsoft.com/office/drawing/2010/main">
      <mc:Choice Requires="a14">
        <xdr:sp macro="" textlink="">
          <xdr:nvSpPr>
            <xdr:cNvPr id="62" name="CuadroTexto 61">
              <a:extLst>
                <a:ext uri="{FF2B5EF4-FFF2-40B4-BE49-F238E27FC236}">
                  <a16:creationId xmlns:a16="http://schemas.microsoft.com/office/drawing/2014/main" id="{00000000-0008-0000-0200-00003E000000}"/>
                </a:ext>
              </a:extLst>
            </xdr:cNvPr>
            <xdr:cNvSpPr txBox="1"/>
          </xdr:nvSpPr>
          <xdr:spPr>
            <a:xfrm>
              <a:off x="979955" y="34767370"/>
              <a:ext cx="1059393" cy="2666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600" i="1">
                            <a:latin typeface="Cambria Math" panose="02040503050406030204" pitchFamily="18" charset="0"/>
                          </a:rPr>
                        </m:ctrlPr>
                      </m:sSubPr>
                      <m:e>
                        <m:r>
                          <a:rPr lang="es-MX" sz="1600" b="0" i="1">
                            <a:latin typeface="Cambria Math" panose="02040503050406030204" pitchFamily="18" charset="0"/>
                          </a:rPr>
                          <m:t>𝐼</m:t>
                        </m:r>
                      </m:e>
                      <m:sub>
                        <m:r>
                          <a:rPr lang="es-MX" sz="1600" b="0" i="1">
                            <a:latin typeface="Cambria Math" panose="02040503050406030204" pitchFamily="18" charset="0"/>
                          </a:rPr>
                          <m:t>𝐿</m:t>
                        </m:r>
                        <m:r>
                          <a:rPr lang="es-MX" sz="1600" b="0" i="1">
                            <a:latin typeface="Cambria Math" panose="02040503050406030204" pitchFamily="18" charset="0"/>
                          </a:rPr>
                          <m:t> </m:t>
                        </m:r>
                        <m:r>
                          <a:rPr lang="es-MX" sz="1600" b="0" i="1">
                            <a:latin typeface="Cambria Math" panose="02040503050406030204" pitchFamily="18" charset="0"/>
                          </a:rPr>
                          <m:t>𝑐𝑜𝑟𝑟𝑒𝑔𝑖𝑑𝑎𝑠</m:t>
                        </m:r>
                      </m:sub>
                    </m:sSub>
                  </m:oMath>
                </m:oMathPara>
              </a14:m>
              <a:endParaRPr lang="es-CO" sz="1600"/>
            </a:p>
          </xdr:txBody>
        </xdr:sp>
      </mc:Choice>
      <mc:Fallback xmlns="">
        <xdr:sp macro="" textlink="">
          <xdr:nvSpPr>
            <xdr:cNvPr id="62" name="CuadroTexto 61"/>
            <xdr:cNvSpPr txBox="1"/>
          </xdr:nvSpPr>
          <xdr:spPr>
            <a:xfrm>
              <a:off x="979955" y="34767370"/>
              <a:ext cx="1059393" cy="2666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600" b="0" i="0">
                  <a:latin typeface="Cambria Math" panose="02040503050406030204" pitchFamily="18" charset="0"/>
                </a:rPr>
                <a:t>𝐼</a:t>
              </a:r>
              <a:r>
                <a:rPr lang="es-CO" sz="1600" b="0" i="0">
                  <a:latin typeface="Cambria Math"/>
                </a:rPr>
                <a:t>_(</a:t>
              </a:r>
              <a:r>
                <a:rPr lang="es-MX" sz="1600" b="0" i="0">
                  <a:latin typeface="Cambria Math" panose="02040503050406030204" pitchFamily="18" charset="0"/>
                </a:rPr>
                <a:t>𝐿 𝑐𝑜𝑟𝑟𝑒𝑔𝑖𝑑𝑎𝑠</a:t>
              </a:r>
              <a:r>
                <a:rPr lang="es-CO" sz="1600" b="0" i="0">
                  <a:latin typeface="Cambria Math"/>
                </a:rPr>
                <a:t>)</a:t>
              </a:r>
              <a:endParaRPr lang="es-CO" sz="1600"/>
            </a:p>
          </xdr:txBody>
        </xdr:sp>
      </mc:Fallback>
    </mc:AlternateContent>
    <xdr:clientData/>
  </xdr:oneCellAnchor>
  <xdr:oneCellAnchor>
    <xdr:from>
      <xdr:col>0</xdr:col>
      <xdr:colOff>1344705</xdr:colOff>
      <xdr:row>82</xdr:row>
      <xdr:rowOff>70038</xdr:rowOff>
    </xdr:from>
    <xdr:ext cx="231602" cy="438325"/>
    <mc:AlternateContent xmlns:mc="http://schemas.openxmlformats.org/markup-compatibility/2006" xmlns:a14="http://schemas.microsoft.com/office/drawing/2010/main">
      <mc:Choice Requires="a14">
        <xdr:sp macro="" textlink="">
          <xdr:nvSpPr>
            <xdr:cNvPr id="63" name="CuadroTexto 62">
              <a:extLst>
                <a:ext uri="{FF2B5EF4-FFF2-40B4-BE49-F238E27FC236}">
                  <a16:creationId xmlns:a16="http://schemas.microsoft.com/office/drawing/2014/main" id="{00000000-0008-0000-0200-00003F000000}"/>
                </a:ext>
              </a:extLst>
            </xdr:cNvPr>
            <xdr:cNvSpPr txBox="1"/>
          </xdr:nvSpPr>
          <xdr:spPr>
            <a:xfrm>
              <a:off x="1344705" y="35222891"/>
              <a:ext cx="231602"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2800" b="0" i="1">
                        <a:latin typeface="Cambria Math" panose="02040503050406030204" pitchFamily="18" charset="0"/>
                      </a:rPr>
                      <m:t>𝑡</m:t>
                    </m:r>
                  </m:oMath>
                </m:oMathPara>
              </a14:m>
              <a:endParaRPr lang="es-CO" sz="2800"/>
            </a:p>
          </xdr:txBody>
        </xdr:sp>
      </mc:Choice>
      <mc:Fallback xmlns="">
        <xdr:sp macro="" textlink="">
          <xdr:nvSpPr>
            <xdr:cNvPr id="63" name="CuadroTexto 62"/>
            <xdr:cNvSpPr txBox="1"/>
          </xdr:nvSpPr>
          <xdr:spPr>
            <a:xfrm>
              <a:off x="1344705" y="35222891"/>
              <a:ext cx="231602"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2800" b="0" i="0">
                  <a:latin typeface="Cambria Math" panose="02040503050406030204" pitchFamily="18" charset="0"/>
                </a:rPr>
                <a:t>𝑡</a:t>
              </a:r>
              <a:endParaRPr lang="es-CO" sz="2800"/>
            </a:p>
          </xdr:txBody>
        </xdr:sp>
      </mc:Fallback>
    </mc:AlternateContent>
    <xdr:clientData/>
  </xdr:oneCellAnchor>
  <xdr:oneCellAnchor>
    <xdr:from>
      <xdr:col>0</xdr:col>
      <xdr:colOff>923924</xdr:colOff>
      <xdr:row>83</xdr:row>
      <xdr:rowOff>197224</xdr:rowOff>
    </xdr:from>
    <xdr:ext cx="985590" cy="266611"/>
    <mc:AlternateContent xmlns:mc="http://schemas.openxmlformats.org/markup-compatibility/2006" xmlns:a14="http://schemas.microsoft.com/office/drawing/2010/main">
      <mc:Choice Requires="a14">
        <xdr:sp macro="" textlink="">
          <xdr:nvSpPr>
            <xdr:cNvPr id="64" name="CuadroTexto 63">
              <a:extLst>
                <a:ext uri="{FF2B5EF4-FFF2-40B4-BE49-F238E27FC236}">
                  <a16:creationId xmlns:a16="http://schemas.microsoft.com/office/drawing/2014/main" id="{00000000-0008-0000-0200-000040000000}"/>
                </a:ext>
              </a:extLst>
            </xdr:cNvPr>
            <xdr:cNvSpPr txBox="1"/>
          </xdr:nvSpPr>
          <xdr:spPr>
            <a:xfrm>
              <a:off x="923924" y="35865548"/>
              <a:ext cx="985590" cy="2666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600" i="1">
                            <a:latin typeface="Cambria Math" panose="02040503050406030204" pitchFamily="18" charset="0"/>
                          </a:rPr>
                        </m:ctrlPr>
                      </m:sSubPr>
                      <m:e>
                        <m:r>
                          <a:rPr lang="es-MX" sz="1600" b="0" i="1">
                            <a:latin typeface="Cambria Math" panose="02040503050406030204" pitchFamily="18" charset="0"/>
                          </a:rPr>
                          <m:t>𝑡</m:t>
                        </m:r>
                      </m:e>
                      <m:sub>
                        <m:r>
                          <a:rPr lang="es-MX" sz="1600" b="0" i="1">
                            <a:latin typeface="Cambria Math" panose="02040503050406030204" pitchFamily="18" charset="0"/>
                          </a:rPr>
                          <m:t> </m:t>
                        </m:r>
                        <m:r>
                          <a:rPr lang="es-MX" sz="1600" b="0" i="1">
                            <a:latin typeface="Cambria Math" panose="02040503050406030204" pitchFamily="18" charset="0"/>
                          </a:rPr>
                          <m:t>𝑐𝑜𝑟𝑟𝑒𝑔𝑖𝑑𝑎𝑠</m:t>
                        </m:r>
                      </m:sub>
                    </m:sSub>
                  </m:oMath>
                </m:oMathPara>
              </a14:m>
              <a:endParaRPr lang="es-CO" sz="1600"/>
            </a:p>
          </xdr:txBody>
        </xdr:sp>
      </mc:Choice>
      <mc:Fallback xmlns="">
        <xdr:sp macro="" textlink="">
          <xdr:nvSpPr>
            <xdr:cNvPr id="64" name="CuadroTexto 63"/>
            <xdr:cNvSpPr txBox="1"/>
          </xdr:nvSpPr>
          <xdr:spPr>
            <a:xfrm>
              <a:off x="923924" y="35865548"/>
              <a:ext cx="985590" cy="2666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600" b="0" i="0">
                  <a:latin typeface="Cambria Math" panose="02040503050406030204" pitchFamily="18" charset="0"/>
                </a:rPr>
                <a:t>𝑡</a:t>
              </a:r>
              <a:r>
                <a:rPr lang="es-CO" sz="1600" b="0" i="0">
                  <a:latin typeface="Cambria Math"/>
                </a:rPr>
                <a:t>_(</a:t>
              </a:r>
              <a:r>
                <a:rPr lang="es-MX" sz="1600" b="0" i="0">
                  <a:latin typeface="Cambria Math" panose="02040503050406030204" pitchFamily="18" charset="0"/>
                </a:rPr>
                <a:t> 𝑐𝑜𝑟𝑟𝑒𝑔𝑖𝑑𝑎𝑠</a:t>
              </a:r>
              <a:r>
                <a:rPr lang="es-CO" sz="1600" b="0" i="0">
                  <a:latin typeface="Cambria Math"/>
                </a:rPr>
                <a:t>)</a:t>
              </a:r>
              <a:endParaRPr lang="es-CO" sz="1600"/>
            </a:p>
          </xdr:txBody>
        </xdr:sp>
      </mc:Fallback>
    </mc:AlternateContent>
    <xdr:clientData/>
  </xdr:oneCellAnchor>
  <xdr:oneCellAnchor>
    <xdr:from>
      <xdr:col>0</xdr:col>
      <xdr:colOff>1304925</xdr:colOff>
      <xdr:row>84</xdr:row>
      <xdr:rowOff>152400</xdr:rowOff>
    </xdr:from>
    <xdr:ext cx="219547" cy="250453"/>
    <mc:AlternateContent xmlns:mc="http://schemas.openxmlformats.org/markup-compatibility/2006" xmlns:a14="http://schemas.microsoft.com/office/drawing/2010/main">
      <mc:Choice Requires="a14">
        <xdr:sp macro="" textlink="">
          <xdr:nvSpPr>
            <xdr:cNvPr id="65" name="CuadroTexto 64">
              <a:extLst>
                <a:ext uri="{FF2B5EF4-FFF2-40B4-BE49-F238E27FC236}">
                  <a16:creationId xmlns:a16="http://schemas.microsoft.com/office/drawing/2014/main" id="{00000000-0008-0000-0200-000041000000}"/>
                </a:ext>
              </a:extLst>
            </xdr:cNvPr>
            <xdr:cNvSpPr txBox="1"/>
          </xdr:nvSpPr>
          <xdr:spPr>
            <a:xfrm>
              <a:off x="1304925" y="36336194"/>
              <a:ext cx="219547"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600" i="1">
                            <a:latin typeface="Cambria Math" panose="02040503050406030204" pitchFamily="18" charset="0"/>
                          </a:rPr>
                        </m:ctrlPr>
                      </m:sSubPr>
                      <m:e>
                        <m:r>
                          <a:rPr lang="es-MX" sz="1600" b="0" i="1">
                            <a:latin typeface="Cambria Math" panose="02040503050406030204" pitchFamily="18" charset="0"/>
                          </a:rPr>
                          <m:t>𝑡</m:t>
                        </m:r>
                      </m:e>
                      <m:sub>
                        <m:r>
                          <a:rPr lang="es-MX" sz="1600" b="0" i="1">
                            <a:latin typeface="Cambria Math" panose="02040503050406030204" pitchFamily="18" charset="0"/>
                          </a:rPr>
                          <m:t>0</m:t>
                        </m:r>
                      </m:sub>
                    </m:sSub>
                  </m:oMath>
                </m:oMathPara>
              </a14:m>
              <a:endParaRPr lang="es-CO" sz="1600"/>
            </a:p>
          </xdr:txBody>
        </xdr:sp>
      </mc:Choice>
      <mc:Fallback xmlns="">
        <xdr:sp macro="" textlink="">
          <xdr:nvSpPr>
            <xdr:cNvPr id="65" name="CuadroTexto 64"/>
            <xdr:cNvSpPr txBox="1"/>
          </xdr:nvSpPr>
          <xdr:spPr>
            <a:xfrm>
              <a:off x="1304925" y="36336194"/>
              <a:ext cx="219547"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600" b="0" i="0">
                  <a:latin typeface="Cambria Math" panose="02040503050406030204" pitchFamily="18" charset="0"/>
                </a:rPr>
                <a:t>𝑡</a:t>
              </a:r>
              <a:r>
                <a:rPr lang="es-CO" sz="1600" b="0" i="0">
                  <a:latin typeface="Cambria Math"/>
                </a:rPr>
                <a:t>_</a:t>
              </a:r>
              <a:r>
                <a:rPr lang="es-MX" sz="1600" b="0" i="0">
                  <a:latin typeface="Cambria Math" panose="02040503050406030204" pitchFamily="18" charset="0"/>
                </a:rPr>
                <a:t>0</a:t>
              </a:r>
              <a:endParaRPr lang="es-CO" sz="1600"/>
            </a:p>
          </xdr:txBody>
        </xdr:sp>
      </mc:Fallback>
    </mc:AlternateContent>
    <xdr:clientData/>
  </xdr:oneCellAnchor>
  <xdr:oneCellAnchor>
    <xdr:from>
      <xdr:col>0</xdr:col>
      <xdr:colOff>257175</xdr:colOff>
      <xdr:row>72</xdr:row>
      <xdr:rowOff>304800</xdr:rowOff>
    </xdr:from>
    <xdr:ext cx="576825" cy="438325"/>
    <mc:AlternateContent xmlns:mc="http://schemas.openxmlformats.org/markup-compatibility/2006" xmlns:a14="http://schemas.microsoft.com/office/drawing/2010/main">
      <mc:Choice Requires="a14">
        <xdr:sp macro="" textlink="">
          <xdr:nvSpPr>
            <xdr:cNvPr id="66" name="CuadroTexto 65">
              <a:extLst>
                <a:ext uri="{FF2B5EF4-FFF2-40B4-BE49-F238E27FC236}">
                  <a16:creationId xmlns:a16="http://schemas.microsoft.com/office/drawing/2014/main" id="{00000000-0008-0000-0200-000042000000}"/>
                </a:ext>
              </a:extLst>
            </xdr:cNvPr>
            <xdr:cNvSpPr txBox="1"/>
          </xdr:nvSpPr>
          <xdr:spPr>
            <a:xfrm>
              <a:off x="257175" y="25184100"/>
              <a:ext cx="576825"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2800" b="1" i="1">
                            <a:latin typeface="Cambria Math" panose="02040503050406030204" pitchFamily="18" charset="0"/>
                          </a:rPr>
                        </m:ctrlPr>
                      </m:sSubPr>
                      <m:e>
                        <m:r>
                          <a:rPr lang="es-CO" sz="2800" b="1" i="1">
                            <a:latin typeface="Cambria Math" panose="02040503050406030204" pitchFamily="18" charset="0"/>
                            <a:ea typeface="Cambria Math" panose="02040503050406030204" pitchFamily="18" charset="0"/>
                          </a:rPr>
                          <m:t>𝝆</m:t>
                        </m:r>
                      </m:e>
                      <m:sub>
                        <m:r>
                          <a:rPr lang="es-MX" sz="2800" b="1" i="1">
                            <a:latin typeface="Cambria Math" panose="02040503050406030204" pitchFamily="18" charset="0"/>
                          </a:rPr>
                          <m:t>𝑾</m:t>
                        </m:r>
                      </m:sub>
                    </m:sSub>
                  </m:oMath>
                </m:oMathPara>
              </a14:m>
              <a:endParaRPr lang="es-CO" sz="2800" b="1"/>
            </a:p>
          </xdr:txBody>
        </xdr:sp>
      </mc:Choice>
      <mc:Fallback xmlns="">
        <xdr:sp macro="" textlink="">
          <xdr:nvSpPr>
            <xdr:cNvPr id="66" name="CuadroTexto 65"/>
            <xdr:cNvSpPr txBox="1"/>
          </xdr:nvSpPr>
          <xdr:spPr>
            <a:xfrm>
              <a:off x="257175" y="25184100"/>
              <a:ext cx="576825"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2800" b="1" i="0">
                  <a:latin typeface="Cambria Math" panose="02040503050406030204" pitchFamily="18" charset="0"/>
                  <a:ea typeface="Cambria Math" panose="02040503050406030204" pitchFamily="18" charset="0"/>
                </a:rPr>
                <a:t>𝝆_</a:t>
              </a:r>
              <a:r>
                <a:rPr lang="es-MX" sz="2800" b="1" i="0">
                  <a:latin typeface="Cambria Math" panose="02040503050406030204" pitchFamily="18" charset="0"/>
                </a:rPr>
                <a:t>𝑾</a:t>
              </a:r>
              <a:endParaRPr lang="es-CO" sz="2800" b="1"/>
            </a:p>
          </xdr:txBody>
        </xdr:sp>
      </mc:Fallback>
    </mc:AlternateContent>
    <xdr:clientData/>
  </xdr:oneCellAnchor>
  <xdr:oneCellAnchor>
    <xdr:from>
      <xdr:col>0</xdr:col>
      <xdr:colOff>381000</xdr:colOff>
      <xdr:row>87</xdr:row>
      <xdr:rowOff>47625</xdr:rowOff>
    </xdr:from>
    <xdr:ext cx="65" cy="438325"/>
    <xdr:sp macro="" textlink="">
      <xdr:nvSpPr>
        <xdr:cNvPr id="67" name="CuadroTexto 66">
          <a:extLst>
            <a:ext uri="{FF2B5EF4-FFF2-40B4-BE49-F238E27FC236}">
              <a16:creationId xmlns:a16="http://schemas.microsoft.com/office/drawing/2014/main" id="{00000000-0008-0000-0200-000043000000}"/>
            </a:ext>
          </a:extLst>
        </xdr:cNvPr>
        <xdr:cNvSpPr txBox="1"/>
      </xdr:nvSpPr>
      <xdr:spPr>
        <a:xfrm>
          <a:off x="381000" y="32642175"/>
          <a:ext cx="65"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2800"/>
        </a:p>
      </xdr:txBody>
    </xdr:sp>
    <xdr:clientData/>
  </xdr:oneCellAnchor>
  <xdr:oneCellAnchor>
    <xdr:from>
      <xdr:col>0</xdr:col>
      <xdr:colOff>907676</xdr:colOff>
      <xdr:row>87</xdr:row>
      <xdr:rowOff>168088</xdr:rowOff>
    </xdr:from>
    <xdr:ext cx="896656" cy="281808"/>
    <mc:AlternateContent xmlns:mc="http://schemas.openxmlformats.org/markup-compatibility/2006" xmlns:a14="http://schemas.microsoft.com/office/drawing/2010/main">
      <mc:Choice Requires="a14">
        <xdr:sp macro="" textlink="">
          <xdr:nvSpPr>
            <xdr:cNvPr id="68" name="CuadroTexto 67">
              <a:extLst>
                <a:ext uri="{FF2B5EF4-FFF2-40B4-BE49-F238E27FC236}">
                  <a16:creationId xmlns:a16="http://schemas.microsoft.com/office/drawing/2014/main" id="{00000000-0008-0000-0200-000044000000}"/>
                </a:ext>
              </a:extLst>
            </xdr:cNvPr>
            <xdr:cNvSpPr txBox="1"/>
          </xdr:nvSpPr>
          <xdr:spPr>
            <a:xfrm>
              <a:off x="907676" y="37898294"/>
              <a:ext cx="896656" cy="2818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1800" b="0" i="1">
                            <a:latin typeface="Cambria Math" panose="02040503050406030204" pitchFamily="18" charset="0"/>
                          </a:rPr>
                        </m:ctrlPr>
                      </m:dPr>
                      <m:e>
                        <m:sSub>
                          <m:sSubPr>
                            <m:ctrlPr>
                              <a:rPr lang="es-CO" sz="1800" i="1">
                                <a:solidFill>
                                  <a:schemeClr val="tx1"/>
                                </a:solidFill>
                                <a:effectLst/>
                                <a:latin typeface="Cambria Math" panose="02040503050406030204" pitchFamily="18" charset="0"/>
                                <a:ea typeface="+mn-ea"/>
                                <a:cs typeface="+mn-cs"/>
                              </a:rPr>
                            </m:ctrlPr>
                          </m:sSubPr>
                          <m:e>
                            <m:r>
                              <a:rPr lang="es-MX" sz="1800" b="0" i="1">
                                <a:solidFill>
                                  <a:schemeClr val="tx1"/>
                                </a:solidFill>
                                <a:effectLst/>
                                <a:latin typeface="Cambria Math" panose="02040503050406030204" pitchFamily="18" charset="0"/>
                                <a:ea typeface="+mn-ea"/>
                                <a:cs typeface="+mn-cs"/>
                              </a:rPr>
                              <m:t>𝐼</m:t>
                            </m:r>
                          </m:e>
                          <m:sub>
                            <m:r>
                              <a:rPr lang="es-MX" sz="1800" b="0" i="1">
                                <a:solidFill>
                                  <a:schemeClr val="tx1"/>
                                </a:solidFill>
                                <a:effectLst/>
                                <a:latin typeface="Cambria Math" panose="02040503050406030204" pitchFamily="18" charset="0"/>
                                <a:ea typeface="+mn-ea"/>
                                <a:cs typeface="+mn-cs"/>
                              </a:rPr>
                              <m:t>𝐿</m:t>
                            </m:r>
                          </m:sub>
                        </m:sSub>
                        <m:r>
                          <a:rPr lang="es-MX" sz="1800" b="0" i="1">
                            <a:solidFill>
                              <a:schemeClr val="tx1"/>
                            </a:solidFill>
                            <a:effectLst/>
                            <a:latin typeface="Cambria Math" panose="02040503050406030204" pitchFamily="18" charset="0"/>
                            <a:ea typeface="+mn-ea"/>
                            <a:cs typeface="+mn-cs"/>
                          </a:rPr>
                          <m:t>−</m:t>
                        </m:r>
                        <m:sSub>
                          <m:sSubPr>
                            <m:ctrlPr>
                              <a:rPr lang="es-MX" sz="1800" b="0" i="1">
                                <a:solidFill>
                                  <a:schemeClr val="tx1"/>
                                </a:solidFill>
                                <a:effectLst/>
                                <a:latin typeface="Cambria Math" panose="02040503050406030204" pitchFamily="18" charset="0"/>
                                <a:ea typeface="+mn-ea"/>
                                <a:cs typeface="+mn-cs"/>
                              </a:rPr>
                            </m:ctrlPr>
                          </m:sSubPr>
                          <m:e>
                            <m:r>
                              <a:rPr lang="es-MX" sz="1800" b="0" i="1">
                                <a:solidFill>
                                  <a:schemeClr val="tx1"/>
                                </a:solidFill>
                                <a:effectLst/>
                                <a:latin typeface="Cambria Math" panose="02040503050406030204" pitchFamily="18" charset="0"/>
                                <a:ea typeface="+mn-ea"/>
                                <a:cs typeface="+mn-cs"/>
                              </a:rPr>
                              <m:t>𝐼</m:t>
                            </m:r>
                          </m:e>
                          <m:sub>
                            <m:r>
                              <a:rPr lang="es-MX" sz="1800" b="0" i="1">
                                <a:solidFill>
                                  <a:schemeClr val="tx1"/>
                                </a:solidFill>
                                <a:effectLst/>
                                <a:latin typeface="Cambria Math" panose="02040503050406030204" pitchFamily="18" charset="0"/>
                                <a:ea typeface="+mn-ea"/>
                                <a:cs typeface="+mn-cs"/>
                              </a:rPr>
                              <m:t>𝐸</m:t>
                            </m:r>
                          </m:sub>
                        </m:sSub>
                      </m:e>
                    </m:d>
                  </m:oMath>
                </m:oMathPara>
              </a14:m>
              <a:endParaRPr lang="es-CO" sz="1800"/>
            </a:p>
          </xdr:txBody>
        </xdr:sp>
      </mc:Choice>
      <mc:Fallback xmlns="">
        <xdr:sp macro="" textlink="">
          <xdr:nvSpPr>
            <xdr:cNvPr id="68" name="CuadroTexto 67"/>
            <xdr:cNvSpPr txBox="1"/>
          </xdr:nvSpPr>
          <xdr:spPr>
            <a:xfrm>
              <a:off x="907676" y="37898294"/>
              <a:ext cx="896656" cy="2818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800" b="0" i="0">
                  <a:latin typeface="Cambria Math"/>
                </a:rPr>
                <a:t>(</a:t>
              </a:r>
              <a:r>
                <a:rPr lang="es-MX" sz="1800" b="0" i="0">
                  <a:solidFill>
                    <a:schemeClr val="tx1"/>
                  </a:solidFill>
                  <a:effectLst/>
                  <a:latin typeface="Cambria Math" panose="02040503050406030204" pitchFamily="18" charset="0"/>
                  <a:ea typeface="+mn-ea"/>
                  <a:cs typeface="+mn-cs"/>
                </a:rPr>
                <a:t>𝐼</a:t>
              </a:r>
              <a:r>
                <a:rPr lang="es-CO" sz="1800" b="0" i="0">
                  <a:solidFill>
                    <a:schemeClr val="tx1"/>
                  </a:solidFill>
                  <a:effectLst/>
                  <a:latin typeface="Cambria Math"/>
                  <a:ea typeface="+mn-ea"/>
                  <a:cs typeface="+mn-cs"/>
                </a:rPr>
                <a:t>_</a:t>
              </a:r>
              <a:r>
                <a:rPr lang="es-MX" sz="1800" b="0" i="0">
                  <a:solidFill>
                    <a:schemeClr val="tx1"/>
                  </a:solidFill>
                  <a:effectLst/>
                  <a:latin typeface="Cambria Math" panose="02040503050406030204" pitchFamily="18" charset="0"/>
                  <a:ea typeface="+mn-ea"/>
                  <a:cs typeface="+mn-cs"/>
                </a:rPr>
                <a:t>𝐿−𝐼</a:t>
              </a:r>
              <a:r>
                <a:rPr lang="es-MX" sz="1800" b="0" i="0">
                  <a:solidFill>
                    <a:schemeClr val="tx1"/>
                  </a:solidFill>
                  <a:effectLst/>
                  <a:latin typeface="Cambria Math"/>
                  <a:ea typeface="+mn-ea"/>
                  <a:cs typeface="+mn-cs"/>
                </a:rPr>
                <a:t>_</a:t>
              </a:r>
              <a:r>
                <a:rPr lang="es-MX" sz="1800" b="0" i="0">
                  <a:solidFill>
                    <a:schemeClr val="tx1"/>
                  </a:solidFill>
                  <a:effectLst/>
                  <a:latin typeface="Cambria Math" panose="02040503050406030204" pitchFamily="18" charset="0"/>
                  <a:ea typeface="+mn-ea"/>
                  <a:cs typeface="+mn-cs"/>
                </a:rPr>
                <a:t>𝐸</a:t>
              </a:r>
              <a:r>
                <a:rPr lang="es-MX" sz="1800" b="0" i="0">
                  <a:solidFill>
                    <a:schemeClr val="tx1"/>
                  </a:solidFill>
                  <a:effectLst/>
                  <a:latin typeface="Cambria Math"/>
                  <a:ea typeface="+mn-ea"/>
                  <a:cs typeface="+mn-cs"/>
                </a:rPr>
                <a:t> )</a:t>
              </a:r>
              <a:endParaRPr lang="es-CO" sz="1800"/>
            </a:p>
          </xdr:txBody>
        </xdr:sp>
      </mc:Fallback>
    </mc:AlternateContent>
    <xdr:clientData/>
  </xdr:oneCellAnchor>
  <xdr:oneCellAnchor>
    <xdr:from>
      <xdr:col>0</xdr:col>
      <xdr:colOff>1028700</xdr:colOff>
      <xdr:row>88</xdr:row>
      <xdr:rowOff>76200</xdr:rowOff>
    </xdr:from>
    <xdr:ext cx="694100" cy="380361"/>
    <mc:AlternateContent xmlns:mc="http://schemas.openxmlformats.org/markup-compatibility/2006" xmlns:a14="http://schemas.microsoft.com/office/drawing/2010/main">
      <mc:Choice Requires="a14">
        <xdr:sp macro="" textlink="">
          <xdr:nvSpPr>
            <xdr:cNvPr id="69" name="CuadroTexto 68">
              <a:extLst>
                <a:ext uri="{FF2B5EF4-FFF2-40B4-BE49-F238E27FC236}">
                  <a16:creationId xmlns:a16="http://schemas.microsoft.com/office/drawing/2014/main" id="{00000000-0008-0000-0200-000045000000}"/>
                </a:ext>
              </a:extLst>
            </xdr:cNvPr>
            <xdr:cNvSpPr txBox="1"/>
          </xdr:nvSpPr>
          <xdr:spPr>
            <a:xfrm>
              <a:off x="1028700" y="38478759"/>
              <a:ext cx="694100"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indent="0"/>
              <a14:m>
                <m:oMathPara xmlns:m="http://schemas.openxmlformats.org/officeDocument/2006/math">
                  <m:oMathParaPr>
                    <m:jc m:val="center"/>
                  </m:oMathParaPr>
                  <m:oMath xmlns:m="http://schemas.openxmlformats.org/officeDocument/2006/math">
                    <m:d>
                      <m:dPr>
                        <m:ctrlPr>
                          <a:rPr lang="es-MX" sz="1100" b="0" i="1">
                            <a:solidFill>
                              <a:schemeClr val="tx1"/>
                            </a:solidFill>
                            <a:latin typeface="Cambria Math" panose="02040503050406030204" pitchFamily="18" charset="0"/>
                            <a:ea typeface="+mn-ea"/>
                            <a:cs typeface="+mn-cs"/>
                          </a:rPr>
                        </m:ctrlPr>
                      </m:dPr>
                      <m:e>
                        <m:f>
                          <m:fPr>
                            <m:ctrlPr>
                              <a:rPr lang="es-MX" sz="1100" b="0" i="1">
                                <a:solidFill>
                                  <a:schemeClr val="tx1"/>
                                </a:solidFill>
                                <a:latin typeface="Cambria Math" panose="02040503050406030204" pitchFamily="18" charset="0"/>
                                <a:ea typeface="+mn-ea"/>
                                <a:cs typeface="+mn-cs"/>
                              </a:rPr>
                            </m:ctrlPr>
                          </m:fPr>
                          <m:num>
                            <m:r>
                              <a:rPr lang="es-MX" sz="1100" b="0" i="1">
                                <a:solidFill>
                                  <a:schemeClr val="tx1"/>
                                </a:solidFill>
                                <a:latin typeface="Cambria Math" panose="02040503050406030204" pitchFamily="18" charset="0"/>
                                <a:ea typeface="+mn-ea"/>
                                <a:cs typeface="+mn-cs"/>
                              </a:rPr>
                              <m:t>1</m:t>
                            </m:r>
                          </m:num>
                          <m:den>
                            <m:sSub>
                              <m:sSubPr>
                                <m:ctrlPr>
                                  <a:rPr lang="es-MX" sz="1100" b="0" i="1">
                                    <a:solidFill>
                                      <a:schemeClr val="tx1"/>
                                    </a:solidFill>
                                    <a:latin typeface="Cambria Math" panose="02040503050406030204" pitchFamily="18" charset="0"/>
                                    <a:ea typeface="+mn-ea"/>
                                    <a:cs typeface="+mn-cs"/>
                                  </a:rPr>
                                </m:ctrlPr>
                              </m:sSubPr>
                              <m:e>
                                <m:r>
                                  <a:rPr lang="es-MX" sz="1100" b="0" i="1">
                                    <a:solidFill>
                                      <a:schemeClr val="tx1"/>
                                    </a:solidFill>
                                    <a:latin typeface="Cambria Math" panose="02040503050406030204" pitchFamily="18" charset="0"/>
                                    <a:ea typeface="+mn-ea"/>
                                    <a:cs typeface="+mn-cs"/>
                                  </a:rPr>
                                  <m:t>𝜌</m:t>
                                </m:r>
                              </m:e>
                              <m:sub>
                                <m:r>
                                  <a:rPr lang="es-MX" sz="1100" b="0" i="1">
                                    <a:solidFill>
                                      <a:schemeClr val="tx1"/>
                                    </a:solidFill>
                                    <a:latin typeface="Cambria Math" panose="02040503050406030204" pitchFamily="18" charset="0"/>
                                    <a:ea typeface="+mn-ea"/>
                                    <a:cs typeface="+mn-cs"/>
                                  </a:rPr>
                                  <m:t>𝑊</m:t>
                                </m:r>
                              </m:sub>
                            </m:sSub>
                            <m:r>
                              <a:rPr lang="es-MX" sz="1100" b="0" i="1">
                                <a:solidFill>
                                  <a:schemeClr val="tx1"/>
                                </a:solidFill>
                                <a:latin typeface="Cambria Math" panose="02040503050406030204" pitchFamily="18" charset="0"/>
                                <a:ea typeface="+mn-ea"/>
                                <a:cs typeface="+mn-cs"/>
                              </a:rPr>
                              <m:t>−</m:t>
                            </m:r>
                            <m:sSub>
                              <m:sSubPr>
                                <m:ctrlPr>
                                  <a:rPr lang="es-MX" sz="1100" b="0" i="1">
                                    <a:solidFill>
                                      <a:schemeClr val="tx1"/>
                                    </a:solidFill>
                                    <a:latin typeface="Cambria Math" panose="02040503050406030204" pitchFamily="18" charset="0"/>
                                    <a:ea typeface="+mn-ea"/>
                                    <a:cs typeface="+mn-cs"/>
                                  </a:rPr>
                                </m:ctrlPr>
                              </m:sSubPr>
                              <m:e>
                                <m:r>
                                  <a:rPr lang="es-MX" sz="1100" b="0" i="1">
                                    <a:solidFill>
                                      <a:schemeClr val="tx1"/>
                                    </a:solidFill>
                                    <a:latin typeface="Cambria Math" panose="02040503050406030204" pitchFamily="18" charset="0"/>
                                    <a:ea typeface="+mn-ea"/>
                                    <a:cs typeface="+mn-cs"/>
                                  </a:rPr>
                                  <m:t>𝜌</m:t>
                                </m:r>
                              </m:e>
                              <m:sub>
                                <m:r>
                                  <a:rPr lang="es-MX" sz="1100" b="0" i="1">
                                    <a:solidFill>
                                      <a:schemeClr val="tx1"/>
                                    </a:solidFill>
                                    <a:latin typeface="Cambria Math" panose="02040503050406030204" pitchFamily="18" charset="0"/>
                                    <a:ea typeface="+mn-ea"/>
                                    <a:cs typeface="+mn-cs"/>
                                  </a:rPr>
                                  <m:t>𝐴</m:t>
                                </m:r>
                              </m:sub>
                            </m:sSub>
                          </m:den>
                        </m:f>
                      </m:e>
                    </m:d>
                  </m:oMath>
                </m:oMathPara>
              </a14:m>
              <a:endParaRPr lang="es-CO" sz="1100" b="0" i="1">
                <a:solidFill>
                  <a:schemeClr val="tx1"/>
                </a:solidFill>
                <a:latin typeface="Cambria Math" panose="02040503050406030204" pitchFamily="18" charset="0"/>
                <a:ea typeface="+mn-ea"/>
                <a:cs typeface="+mn-cs"/>
              </a:endParaRPr>
            </a:p>
          </xdr:txBody>
        </xdr:sp>
      </mc:Choice>
      <mc:Fallback xmlns="">
        <xdr:sp macro="" textlink="">
          <xdr:nvSpPr>
            <xdr:cNvPr id="69" name="CuadroTexto 68"/>
            <xdr:cNvSpPr txBox="1"/>
          </xdr:nvSpPr>
          <xdr:spPr>
            <a:xfrm>
              <a:off x="1028700" y="38478759"/>
              <a:ext cx="694100"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indent="0"/>
              <a:r>
                <a:rPr lang="es-MX" sz="1100" b="0" i="0">
                  <a:solidFill>
                    <a:schemeClr val="tx1"/>
                  </a:solidFill>
                  <a:latin typeface="Cambria Math"/>
                  <a:ea typeface="+mn-ea"/>
                  <a:cs typeface="+mn-cs"/>
                </a:rPr>
                <a:t>(</a:t>
              </a:r>
              <a:r>
                <a:rPr lang="es-MX" sz="1100" b="0" i="0">
                  <a:solidFill>
                    <a:schemeClr val="tx1"/>
                  </a:solidFill>
                  <a:latin typeface="Cambria Math" panose="02040503050406030204" pitchFamily="18" charset="0"/>
                  <a:ea typeface="+mn-ea"/>
                  <a:cs typeface="+mn-cs"/>
                </a:rPr>
                <a:t>1</a:t>
              </a:r>
              <a:r>
                <a:rPr lang="es-MX" sz="1100" b="0" i="0">
                  <a:solidFill>
                    <a:schemeClr val="tx1"/>
                  </a:solidFill>
                  <a:latin typeface="Cambria Math"/>
                  <a:ea typeface="+mn-ea"/>
                  <a:cs typeface="+mn-cs"/>
                </a:rPr>
                <a:t>/(</a:t>
              </a:r>
              <a:r>
                <a:rPr lang="es-MX" sz="1100" b="0" i="0">
                  <a:solidFill>
                    <a:schemeClr val="tx1"/>
                  </a:solidFill>
                  <a:latin typeface="Cambria Math" panose="02040503050406030204" pitchFamily="18" charset="0"/>
                  <a:ea typeface="+mn-ea"/>
                  <a:cs typeface="+mn-cs"/>
                </a:rPr>
                <a:t>𝜌</a:t>
              </a:r>
              <a:r>
                <a:rPr lang="es-MX" sz="1100" b="0" i="0">
                  <a:solidFill>
                    <a:schemeClr val="tx1"/>
                  </a:solidFill>
                  <a:latin typeface="Cambria Math"/>
                  <a:ea typeface="+mn-ea"/>
                  <a:cs typeface="+mn-cs"/>
                </a:rPr>
                <a:t>_</a:t>
              </a:r>
              <a:r>
                <a:rPr lang="es-MX" sz="1100" b="0" i="0">
                  <a:solidFill>
                    <a:schemeClr val="tx1"/>
                  </a:solidFill>
                  <a:latin typeface="Cambria Math" panose="02040503050406030204" pitchFamily="18" charset="0"/>
                  <a:ea typeface="+mn-ea"/>
                  <a:cs typeface="+mn-cs"/>
                </a:rPr>
                <a:t>𝑊−𝜌</a:t>
              </a:r>
              <a:r>
                <a:rPr lang="es-MX" sz="1100" b="0" i="0">
                  <a:solidFill>
                    <a:schemeClr val="tx1"/>
                  </a:solidFill>
                  <a:latin typeface="Cambria Math"/>
                  <a:ea typeface="+mn-ea"/>
                  <a:cs typeface="+mn-cs"/>
                </a:rPr>
                <a:t>_</a:t>
              </a:r>
              <a:r>
                <a:rPr lang="es-MX" sz="1100" b="0" i="0">
                  <a:solidFill>
                    <a:schemeClr val="tx1"/>
                  </a:solidFill>
                  <a:latin typeface="Cambria Math" panose="02040503050406030204" pitchFamily="18" charset="0"/>
                  <a:ea typeface="+mn-ea"/>
                  <a:cs typeface="+mn-cs"/>
                </a:rPr>
                <a:t>𝐴</a:t>
              </a:r>
              <a:r>
                <a:rPr lang="es-MX" sz="1100" b="0" i="0">
                  <a:solidFill>
                    <a:schemeClr val="tx1"/>
                  </a:solidFill>
                  <a:latin typeface="Cambria Math"/>
                  <a:ea typeface="+mn-ea"/>
                  <a:cs typeface="+mn-cs"/>
                </a:rPr>
                <a:t> ))</a:t>
              </a:r>
              <a:endParaRPr lang="es-CO" sz="1100" b="0" i="1">
                <a:solidFill>
                  <a:schemeClr val="tx1"/>
                </a:solidFill>
                <a:latin typeface="Cambria Math" panose="02040503050406030204" pitchFamily="18" charset="0"/>
                <a:ea typeface="+mn-ea"/>
                <a:cs typeface="+mn-cs"/>
              </a:endParaRPr>
            </a:p>
          </xdr:txBody>
        </xdr:sp>
      </mc:Fallback>
    </mc:AlternateContent>
    <xdr:clientData/>
  </xdr:oneCellAnchor>
  <xdr:oneCellAnchor>
    <xdr:from>
      <xdr:col>0</xdr:col>
      <xdr:colOff>1039905</xdr:colOff>
      <xdr:row>89</xdr:row>
      <xdr:rowOff>177052</xdr:rowOff>
    </xdr:from>
    <xdr:ext cx="592663" cy="380361"/>
    <mc:AlternateContent xmlns:mc="http://schemas.openxmlformats.org/markup-compatibility/2006" xmlns:a14="http://schemas.microsoft.com/office/drawing/2010/main">
      <mc:Choice Requires="a14">
        <xdr:sp macro="" textlink="">
          <xdr:nvSpPr>
            <xdr:cNvPr id="70" name="CuadroTexto 69">
              <a:extLst>
                <a:ext uri="{FF2B5EF4-FFF2-40B4-BE49-F238E27FC236}">
                  <a16:creationId xmlns:a16="http://schemas.microsoft.com/office/drawing/2014/main" id="{00000000-0008-0000-0200-000046000000}"/>
                </a:ext>
              </a:extLst>
            </xdr:cNvPr>
            <xdr:cNvSpPr txBox="1"/>
          </xdr:nvSpPr>
          <xdr:spPr>
            <a:xfrm>
              <a:off x="1039905" y="39106287"/>
              <a:ext cx="592663"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indent="0"/>
              <a14:m>
                <m:oMathPara xmlns:m="http://schemas.openxmlformats.org/officeDocument/2006/math">
                  <m:oMathParaPr>
                    <m:jc m:val="center"/>
                  </m:oMathParaPr>
                  <m:oMath xmlns:m="http://schemas.openxmlformats.org/officeDocument/2006/math">
                    <m:d>
                      <m:dPr>
                        <m:ctrlPr>
                          <a:rPr lang="es-MX" sz="1100" b="0" i="1">
                            <a:solidFill>
                              <a:schemeClr val="tx1"/>
                            </a:solidFill>
                            <a:latin typeface="Cambria Math" panose="02040503050406030204" pitchFamily="18" charset="0"/>
                            <a:ea typeface="+mn-ea"/>
                            <a:cs typeface="+mn-cs"/>
                          </a:rPr>
                        </m:ctrlPr>
                      </m:dPr>
                      <m:e>
                        <m:r>
                          <a:rPr lang="es-MX" sz="1100" b="0" i="1">
                            <a:solidFill>
                              <a:schemeClr val="tx1"/>
                            </a:solidFill>
                            <a:latin typeface="Cambria Math" panose="02040503050406030204" pitchFamily="18" charset="0"/>
                            <a:ea typeface="+mn-ea"/>
                            <a:cs typeface="+mn-cs"/>
                          </a:rPr>
                          <m:t>1−</m:t>
                        </m:r>
                        <m:f>
                          <m:fPr>
                            <m:ctrlPr>
                              <a:rPr lang="es-MX" sz="1100" b="0" i="1">
                                <a:solidFill>
                                  <a:schemeClr val="tx1"/>
                                </a:solidFill>
                                <a:latin typeface="Cambria Math" panose="02040503050406030204" pitchFamily="18" charset="0"/>
                                <a:ea typeface="+mn-ea"/>
                                <a:cs typeface="+mn-cs"/>
                              </a:rPr>
                            </m:ctrlPr>
                          </m:fPr>
                          <m:num>
                            <m:sSub>
                              <m:sSubPr>
                                <m:ctrlPr>
                                  <a:rPr lang="es-MX" sz="1100" b="0" i="1">
                                    <a:solidFill>
                                      <a:schemeClr val="tx1"/>
                                    </a:solidFill>
                                    <a:latin typeface="Cambria Math" panose="02040503050406030204" pitchFamily="18" charset="0"/>
                                    <a:ea typeface="+mn-ea"/>
                                    <a:cs typeface="+mn-cs"/>
                                  </a:rPr>
                                </m:ctrlPr>
                              </m:sSubPr>
                              <m:e>
                                <m:r>
                                  <a:rPr lang="es-MX" sz="1100" b="0" i="1">
                                    <a:solidFill>
                                      <a:schemeClr val="tx1"/>
                                    </a:solidFill>
                                    <a:latin typeface="Cambria Math" panose="02040503050406030204" pitchFamily="18" charset="0"/>
                                    <a:ea typeface="Cambria Math" panose="02040503050406030204" pitchFamily="18" charset="0"/>
                                    <a:cs typeface="+mn-cs"/>
                                  </a:rPr>
                                  <m:t>𝜌</m:t>
                                </m:r>
                              </m:e>
                              <m:sub>
                                <m:r>
                                  <a:rPr lang="es-MX" sz="1100" b="0" i="1">
                                    <a:solidFill>
                                      <a:schemeClr val="tx1"/>
                                    </a:solidFill>
                                    <a:latin typeface="Cambria Math" panose="02040503050406030204" pitchFamily="18" charset="0"/>
                                    <a:ea typeface="+mn-ea"/>
                                    <a:cs typeface="+mn-cs"/>
                                  </a:rPr>
                                  <m:t>𝐴</m:t>
                                </m:r>
                              </m:sub>
                            </m:sSub>
                          </m:num>
                          <m:den>
                            <m:sSub>
                              <m:sSubPr>
                                <m:ctrlPr>
                                  <a:rPr lang="es-MX" sz="1100" b="0" i="1">
                                    <a:solidFill>
                                      <a:schemeClr val="tx1"/>
                                    </a:solidFill>
                                    <a:latin typeface="Cambria Math" panose="02040503050406030204" pitchFamily="18" charset="0"/>
                                    <a:ea typeface="+mn-ea"/>
                                    <a:cs typeface="+mn-cs"/>
                                  </a:rPr>
                                </m:ctrlPr>
                              </m:sSubPr>
                              <m:e>
                                <m:r>
                                  <a:rPr lang="es-MX" sz="1100" b="0" i="1">
                                    <a:solidFill>
                                      <a:schemeClr val="tx1"/>
                                    </a:solidFill>
                                    <a:latin typeface="Cambria Math" panose="02040503050406030204" pitchFamily="18" charset="0"/>
                                    <a:ea typeface="Cambria Math" panose="02040503050406030204" pitchFamily="18" charset="0"/>
                                    <a:cs typeface="+mn-cs"/>
                                  </a:rPr>
                                  <m:t>𝜌</m:t>
                                </m:r>
                              </m:e>
                              <m:sub>
                                <m:r>
                                  <a:rPr lang="es-MX" sz="1100" b="0" i="1">
                                    <a:solidFill>
                                      <a:schemeClr val="tx1"/>
                                    </a:solidFill>
                                    <a:latin typeface="Cambria Math" panose="02040503050406030204" pitchFamily="18" charset="0"/>
                                    <a:ea typeface="+mn-ea"/>
                                    <a:cs typeface="+mn-cs"/>
                                  </a:rPr>
                                  <m:t>𝐵</m:t>
                                </m:r>
                              </m:sub>
                            </m:sSub>
                          </m:den>
                        </m:f>
                      </m:e>
                    </m:d>
                  </m:oMath>
                </m:oMathPara>
              </a14:m>
              <a:endParaRPr lang="es-CO" sz="1100" b="0" i="1">
                <a:solidFill>
                  <a:schemeClr val="tx1"/>
                </a:solidFill>
                <a:latin typeface="Cambria Math" panose="02040503050406030204" pitchFamily="18" charset="0"/>
                <a:ea typeface="+mn-ea"/>
                <a:cs typeface="+mn-cs"/>
              </a:endParaRPr>
            </a:p>
          </xdr:txBody>
        </xdr:sp>
      </mc:Choice>
      <mc:Fallback xmlns="">
        <xdr:sp macro="" textlink="">
          <xdr:nvSpPr>
            <xdr:cNvPr id="70" name="CuadroTexto 69"/>
            <xdr:cNvSpPr txBox="1"/>
          </xdr:nvSpPr>
          <xdr:spPr>
            <a:xfrm>
              <a:off x="1039905" y="39106287"/>
              <a:ext cx="592663"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indent="0"/>
              <a:r>
                <a:rPr lang="es-MX" sz="1100" b="0" i="0">
                  <a:solidFill>
                    <a:schemeClr val="tx1"/>
                  </a:solidFill>
                  <a:latin typeface="Cambria Math"/>
                  <a:ea typeface="+mn-ea"/>
                  <a:cs typeface="+mn-cs"/>
                </a:rPr>
                <a:t>(</a:t>
              </a:r>
              <a:r>
                <a:rPr lang="es-MX" sz="1100" b="0" i="0">
                  <a:solidFill>
                    <a:schemeClr val="tx1"/>
                  </a:solidFill>
                  <a:latin typeface="Cambria Math" panose="02040503050406030204" pitchFamily="18" charset="0"/>
                  <a:ea typeface="+mn-ea"/>
                  <a:cs typeface="+mn-cs"/>
                </a:rPr>
                <a:t>1−</a:t>
              </a:r>
              <a:r>
                <a:rPr lang="es-MX" sz="1100" b="0" i="0">
                  <a:solidFill>
                    <a:schemeClr val="tx1"/>
                  </a:solidFill>
                  <a:latin typeface="Cambria Math" panose="02040503050406030204" pitchFamily="18" charset="0"/>
                  <a:ea typeface="Cambria Math" panose="02040503050406030204" pitchFamily="18" charset="0"/>
                  <a:cs typeface="+mn-cs"/>
                </a:rPr>
                <a:t>𝜌</a:t>
              </a:r>
              <a:r>
                <a:rPr lang="es-MX" sz="1100" b="0" i="0">
                  <a:solidFill>
                    <a:schemeClr val="tx1"/>
                  </a:solidFill>
                  <a:latin typeface="Cambria Math"/>
                  <a:ea typeface="+mn-ea"/>
                  <a:cs typeface="+mn-cs"/>
                </a:rPr>
                <a:t>_</a:t>
              </a:r>
              <a:r>
                <a:rPr lang="es-MX" sz="1100" b="0" i="0">
                  <a:solidFill>
                    <a:schemeClr val="tx1"/>
                  </a:solidFill>
                  <a:latin typeface="Cambria Math" panose="02040503050406030204" pitchFamily="18" charset="0"/>
                  <a:ea typeface="+mn-ea"/>
                  <a:cs typeface="+mn-cs"/>
                </a:rPr>
                <a:t>𝐴</a:t>
              </a:r>
              <a:r>
                <a:rPr lang="es-MX" sz="1100" b="0" i="0">
                  <a:solidFill>
                    <a:schemeClr val="tx1"/>
                  </a:solidFill>
                  <a:latin typeface="Cambria Math"/>
                  <a:ea typeface="+mn-ea"/>
                  <a:cs typeface="+mn-cs"/>
                </a:rPr>
                <a:t>/</a:t>
              </a:r>
              <a:r>
                <a:rPr lang="es-MX" sz="1100" b="0" i="0">
                  <a:solidFill>
                    <a:schemeClr val="tx1"/>
                  </a:solidFill>
                  <a:latin typeface="Cambria Math" panose="02040503050406030204" pitchFamily="18" charset="0"/>
                  <a:ea typeface="Cambria Math" panose="02040503050406030204" pitchFamily="18" charset="0"/>
                  <a:cs typeface="+mn-cs"/>
                </a:rPr>
                <a:t>𝜌</a:t>
              </a:r>
              <a:r>
                <a:rPr lang="es-MX" sz="1100" b="0" i="0">
                  <a:solidFill>
                    <a:schemeClr val="tx1"/>
                  </a:solidFill>
                  <a:latin typeface="Cambria Math"/>
                  <a:ea typeface="+mn-ea"/>
                  <a:cs typeface="+mn-cs"/>
                </a:rPr>
                <a:t>_</a:t>
              </a:r>
              <a:r>
                <a:rPr lang="es-MX" sz="1100" b="0" i="0">
                  <a:solidFill>
                    <a:schemeClr val="tx1"/>
                  </a:solidFill>
                  <a:latin typeface="Cambria Math" panose="02040503050406030204" pitchFamily="18" charset="0"/>
                  <a:ea typeface="+mn-ea"/>
                  <a:cs typeface="+mn-cs"/>
                </a:rPr>
                <a:t>𝐵</a:t>
              </a:r>
              <a:r>
                <a:rPr lang="es-MX" sz="1100" b="0" i="0">
                  <a:solidFill>
                    <a:schemeClr val="tx1"/>
                  </a:solidFill>
                  <a:latin typeface="Cambria Math"/>
                  <a:ea typeface="+mn-ea"/>
                  <a:cs typeface="+mn-cs"/>
                </a:rPr>
                <a:t> )</a:t>
              </a:r>
              <a:endParaRPr lang="es-CO" sz="1100" b="0" i="1">
                <a:solidFill>
                  <a:schemeClr val="tx1"/>
                </a:solidFill>
                <a:latin typeface="Cambria Math" panose="02040503050406030204" pitchFamily="18" charset="0"/>
                <a:ea typeface="+mn-ea"/>
                <a:cs typeface="+mn-cs"/>
              </a:endParaRPr>
            </a:p>
          </xdr:txBody>
        </xdr:sp>
      </mc:Fallback>
    </mc:AlternateContent>
    <xdr:clientData/>
  </xdr:oneCellAnchor>
  <xdr:oneCellAnchor>
    <xdr:from>
      <xdr:col>0</xdr:col>
      <xdr:colOff>675154</xdr:colOff>
      <xdr:row>90</xdr:row>
      <xdr:rowOff>282949</xdr:rowOff>
    </xdr:from>
    <xdr:ext cx="1408271" cy="210507"/>
    <mc:AlternateContent xmlns:mc="http://schemas.openxmlformats.org/markup-compatibility/2006" xmlns:a14="http://schemas.microsoft.com/office/drawing/2010/main">
      <mc:Choice Requires="a14">
        <xdr:sp macro="" textlink="">
          <xdr:nvSpPr>
            <xdr:cNvPr id="71" name="CuadroTexto 70">
              <a:extLst>
                <a:ext uri="{FF2B5EF4-FFF2-40B4-BE49-F238E27FC236}">
                  <a16:creationId xmlns:a16="http://schemas.microsoft.com/office/drawing/2014/main" id="{00000000-0008-0000-0200-000047000000}"/>
                </a:ext>
              </a:extLst>
            </xdr:cNvPr>
            <xdr:cNvSpPr txBox="1"/>
          </xdr:nvSpPr>
          <xdr:spPr>
            <a:xfrm>
              <a:off x="675154" y="39850920"/>
              <a:ext cx="1408271"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indent="0"/>
              <a14:m>
                <m:oMathPara xmlns:m="http://schemas.openxmlformats.org/officeDocument/2006/math">
                  <m:oMathParaPr>
                    <m:jc m:val="center"/>
                  </m:oMathParaPr>
                  <m:oMath xmlns:m="http://schemas.openxmlformats.org/officeDocument/2006/math">
                    <m:d>
                      <m:dPr>
                        <m:begChr m:val="["/>
                        <m:endChr m:val="]"/>
                        <m:ctrlPr>
                          <a:rPr lang="es-MX" sz="1400" b="0" i="1">
                            <a:solidFill>
                              <a:schemeClr val="tx1"/>
                            </a:solidFill>
                            <a:latin typeface="Cambria Math" panose="02040503050406030204" pitchFamily="18" charset="0"/>
                            <a:ea typeface="+mn-ea"/>
                            <a:cs typeface="+mn-cs"/>
                          </a:rPr>
                        </m:ctrlPr>
                      </m:dPr>
                      <m:e>
                        <m:d>
                          <m:dPr>
                            <m:ctrlPr>
                              <a:rPr lang="es-MX" sz="1400" b="0" i="1">
                                <a:solidFill>
                                  <a:schemeClr val="tx1"/>
                                </a:solidFill>
                                <a:effectLst/>
                                <a:latin typeface="Cambria Math" panose="02040503050406030204" pitchFamily="18" charset="0"/>
                                <a:ea typeface="+mn-ea"/>
                                <a:cs typeface="+mn-cs"/>
                              </a:rPr>
                            </m:ctrlPr>
                          </m:dPr>
                          <m:e>
                            <m:r>
                              <a:rPr lang="es-MX" sz="1400" b="0" i="1">
                                <a:solidFill>
                                  <a:schemeClr val="tx1"/>
                                </a:solidFill>
                                <a:effectLst/>
                                <a:latin typeface="Cambria Math" panose="02040503050406030204" pitchFamily="18" charset="0"/>
                                <a:ea typeface="+mn-ea"/>
                                <a:cs typeface="+mn-cs"/>
                              </a:rPr>
                              <m:t>1−</m:t>
                            </m:r>
                            <m:r>
                              <a:rPr lang="es-MX" sz="1400" b="0" i="1">
                                <a:solidFill>
                                  <a:schemeClr val="tx1"/>
                                </a:solidFill>
                                <a:effectLst/>
                                <a:latin typeface="Cambria Math" panose="02040503050406030204" pitchFamily="18" charset="0"/>
                                <a:ea typeface="+mn-ea"/>
                                <a:cs typeface="+mn-cs"/>
                              </a:rPr>
                              <m:t>𝛾</m:t>
                            </m:r>
                            <m:r>
                              <a:rPr lang="es-MX" sz="1400" b="0" i="1">
                                <a:solidFill>
                                  <a:schemeClr val="tx1"/>
                                </a:solidFill>
                                <a:effectLst/>
                                <a:latin typeface="Cambria Math" panose="02040503050406030204" pitchFamily="18" charset="0"/>
                                <a:ea typeface="+mn-ea"/>
                                <a:cs typeface="+mn-cs"/>
                              </a:rPr>
                              <m:t>∗(</m:t>
                            </m:r>
                            <m:r>
                              <a:rPr lang="es-MX" sz="1400" b="0" i="1">
                                <a:solidFill>
                                  <a:schemeClr val="tx1"/>
                                </a:solidFill>
                                <a:effectLst/>
                                <a:latin typeface="Cambria Math" panose="02040503050406030204" pitchFamily="18" charset="0"/>
                                <a:ea typeface="+mn-ea"/>
                                <a:cs typeface="+mn-cs"/>
                              </a:rPr>
                              <m:t>𝑡</m:t>
                            </m:r>
                            <m:r>
                              <a:rPr lang="es-MX" sz="1400" b="0" i="1">
                                <a:solidFill>
                                  <a:schemeClr val="tx1"/>
                                </a:solidFill>
                                <a:effectLst/>
                                <a:latin typeface="Cambria Math" panose="02040503050406030204" pitchFamily="18" charset="0"/>
                                <a:ea typeface="+mn-ea"/>
                                <a:cs typeface="+mn-cs"/>
                              </a:rPr>
                              <m:t>−</m:t>
                            </m:r>
                            <m:sSub>
                              <m:sSubPr>
                                <m:ctrlPr>
                                  <a:rPr lang="es-MX" sz="1400" b="0" i="1">
                                    <a:solidFill>
                                      <a:schemeClr val="tx1"/>
                                    </a:solidFill>
                                    <a:effectLst/>
                                    <a:latin typeface="Cambria Math" panose="02040503050406030204" pitchFamily="18" charset="0"/>
                                    <a:ea typeface="+mn-ea"/>
                                    <a:cs typeface="+mn-cs"/>
                                  </a:rPr>
                                </m:ctrlPr>
                              </m:sSubPr>
                              <m:e>
                                <m:r>
                                  <a:rPr lang="es-MX" sz="1400" b="0" i="1">
                                    <a:solidFill>
                                      <a:schemeClr val="tx1"/>
                                    </a:solidFill>
                                    <a:effectLst/>
                                    <a:latin typeface="Cambria Math" panose="02040503050406030204" pitchFamily="18" charset="0"/>
                                    <a:ea typeface="+mn-ea"/>
                                    <a:cs typeface="+mn-cs"/>
                                  </a:rPr>
                                  <m:t>𝑡</m:t>
                                </m:r>
                              </m:e>
                              <m:sub>
                                <m:r>
                                  <a:rPr lang="es-MX" sz="1400" b="0" i="1">
                                    <a:solidFill>
                                      <a:schemeClr val="tx1"/>
                                    </a:solidFill>
                                    <a:effectLst/>
                                    <a:latin typeface="Cambria Math" panose="02040503050406030204" pitchFamily="18" charset="0"/>
                                    <a:ea typeface="+mn-ea"/>
                                    <a:cs typeface="+mn-cs"/>
                                  </a:rPr>
                                  <m:t>0</m:t>
                                </m:r>
                              </m:sub>
                            </m:sSub>
                          </m:e>
                        </m:d>
                      </m:e>
                    </m:d>
                  </m:oMath>
                </m:oMathPara>
              </a14:m>
              <a:endParaRPr lang="es-CO" sz="1400" b="0" i="1">
                <a:solidFill>
                  <a:schemeClr val="tx1"/>
                </a:solidFill>
                <a:latin typeface="Cambria Math" panose="02040503050406030204" pitchFamily="18" charset="0"/>
                <a:ea typeface="+mn-ea"/>
                <a:cs typeface="+mn-cs"/>
              </a:endParaRPr>
            </a:p>
          </xdr:txBody>
        </xdr:sp>
      </mc:Choice>
      <mc:Fallback xmlns="">
        <xdr:sp macro="" textlink="">
          <xdr:nvSpPr>
            <xdr:cNvPr id="71" name="CuadroTexto 70"/>
            <xdr:cNvSpPr txBox="1"/>
          </xdr:nvSpPr>
          <xdr:spPr>
            <a:xfrm>
              <a:off x="675154" y="39850920"/>
              <a:ext cx="1408271"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indent="0"/>
              <a:r>
                <a:rPr lang="es-MX" sz="1400" b="0" i="0">
                  <a:solidFill>
                    <a:schemeClr val="tx1"/>
                  </a:solidFill>
                  <a:latin typeface="Cambria Math"/>
                  <a:ea typeface="+mn-ea"/>
                  <a:cs typeface="+mn-cs"/>
                </a:rPr>
                <a:t>[</a:t>
              </a:r>
              <a:r>
                <a:rPr lang="es-MX" sz="1400" b="0" i="0">
                  <a:solidFill>
                    <a:schemeClr val="tx1"/>
                  </a:solidFill>
                  <a:effectLst/>
                  <a:latin typeface="Cambria Math"/>
                  <a:ea typeface="+mn-ea"/>
                  <a:cs typeface="+mn-cs"/>
                </a:rPr>
                <a:t>(</a:t>
              </a:r>
              <a:r>
                <a:rPr lang="es-MX" sz="1400" b="0" i="0">
                  <a:solidFill>
                    <a:schemeClr val="tx1"/>
                  </a:solidFill>
                  <a:effectLst/>
                  <a:latin typeface="Cambria Math" panose="02040503050406030204" pitchFamily="18" charset="0"/>
                  <a:ea typeface="+mn-ea"/>
                  <a:cs typeface="+mn-cs"/>
                </a:rPr>
                <a:t>1−𝛾∗(𝑡−𝑡</a:t>
              </a:r>
              <a:r>
                <a:rPr lang="es-MX" sz="1400" b="0" i="0">
                  <a:solidFill>
                    <a:schemeClr val="tx1"/>
                  </a:solidFill>
                  <a:effectLst/>
                  <a:latin typeface="Cambria Math"/>
                  <a:ea typeface="+mn-ea"/>
                  <a:cs typeface="+mn-cs"/>
                </a:rPr>
                <a:t>_</a:t>
              </a:r>
              <a:r>
                <a:rPr lang="es-MX" sz="1400" b="0" i="0">
                  <a:solidFill>
                    <a:schemeClr val="tx1"/>
                  </a:solidFill>
                  <a:effectLst/>
                  <a:latin typeface="Cambria Math" panose="02040503050406030204" pitchFamily="18" charset="0"/>
                  <a:ea typeface="+mn-ea"/>
                  <a:cs typeface="+mn-cs"/>
                </a:rPr>
                <a:t>0</a:t>
              </a:r>
              <a:r>
                <a:rPr lang="es-MX" sz="1400" b="0" i="0">
                  <a:solidFill>
                    <a:schemeClr val="tx1"/>
                  </a:solidFill>
                  <a:effectLst/>
                  <a:latin typeface="Cambria Math"/>
                  <a:ea typeface="+mn-ea"/>
                  <a:cs typeface="+mn-cs"/>
                </a:rPr>
                <a:t> )]</a:t>
              </a:r>
              <a:endParaRPr lang="es-CO" sz="1400" b="0" i="1">
                <a:solidFill>
                  <a:schemeClr val="tx1"/>
                </a:solidFill>
                <a:latin typeface="Cambria Math" panose="02040503050406030204" pitchFamily="18" charset="0"/>
                <a:ea typeface="+mn-ea"/>
                <a:cs typeface="+mn-cs"/>
              </a:endParaRPr>
            </a:p>
          </xdr:txBody>
        </xdr:sp>
      </mc:Fallback>
    </mc:AlternateContent>
    <xdr:clientData/>
  </xdr:oneCellAnchor>
  <xdr:oneCellAnchor>
    <xdr:from>
      <xdr:col>0</xdr:col>
      <xdr:colOff>1423707</xdr:colOff>
      <xdr:row>91</xdr:row>
      <xdr:rowOff>96931</xdr:rowOff>
    </xdr:from>
    <xdr:ext cx="196656" cy="210507"/>
    <mc:AlternateContent xmlns:mc="http://schemas.openxmlformats.org/markup-compatibility/2006" xmlns:a14="http://schemas.microsoft.com/office/drawing/2010/main">
      <mc:Choice Requires="a14">
        <xdr:sp macro="" textlink="">
          <xdr:nvSpPr>
            <xdr:cNvPr id="72" name="CuadroTexto 71">
              <a:extLst>
                <a:ext uri="{FF2B5EF4-FFF2-40B4-BE49-F238E27FC236}">
                  <a16:creationId xmlns:a16="http://schemas.microsoft.com/office/drawing/2014/main" id="{00000000-0008-0000-0200-000048000000}"/>
                </a:ext>
              </a:extLst>
            </xdr:cNvPr>
            <xdr:cNvSpPr txBox="1"/>
          </xdr:nvSpPr>
          <xdr:spPr>
            <a:xfrm>
              <a:off x="1423707" y="40415696"/>
              <a:ext cx="196656"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indent="0"/>
              <a14:m>
                <m:oMathPara xmlns:m="http://schemas.openxmlformats.org/officeDocument/2006/math">
                  <m:oMathParaPr>
                    <m:jc m:val="center"/>
                  </m:oMathParaPr>
                  <m:oMath xmlns:m="http://schemas.openxmlformats.org/officeDocument/2006/math">
                    <m:sSub>
                      <m:sSubPr>
                        <m:ctrlPr>
                          <a:rPr lang="es-CO" sz="1400" b="0" i="1">
                            <a:solidFill>
                              <a:schemeClr val="tx1"/>
                            </a:solidFill>
                            <a:latin typeface="Cambria Math" panose="02040503050406030204" pitchFamily="18" charset="0"/>
                            <a:ea typeface="+mn-ea"/>
                            <a:cs typeface="+mn-cs"/>
                          </a:rPr>
                        </m:ctrlPr>
                      </m:sSubPr>
                      <m:e>
                        <m:r>
                          <a:rPr lang="es-MX" sz="1400" b="0" i="1">
                            <a:solidFill>
                              <a:schemeClr val="tx1"/>
                            </a:solidFill>
                            <a:latin typeface="Cambria Math" panose="02040503050406030204" pitchFamily="18" charset="0"/>
                            <a:ea typeface="+mn-ea"/>
                            <a:cs typeface="+mn-cs"/>
                          </a:rPr>
                          <m:t>𝑉</m:t>
                        </m:r>
                      </m:e>
                      <m:sub>
                        <m:r>
                          <a:rPr lang="es-MX" sz="1400" b="0" i="1">
                            <a:solidFill>
                              <a:schemeClr val="tx1"/>
                            </a:solidFill>
                            <a:latin typeface="Cambria Math" panose="02040503050406030204" pitchFamily="18" charset="0"/>
                            <a:ea typeface="+mn-ea"/>
                            <a:cs typeface="+mn-cs"/>
                          </a:rPr>
                          <m:t>𝑡</m:t>
                        </m:r>
                      </m:sub>
                    </m:sSub>
                  </m:oMath>
                </m:oMathPara>
              </a14:m>
              <a:endParaRPr lang="es-CO" sz="1400" b="0" i="1">
                <a:solidFill>
                  <a:schemeClr val="tx1"/>
                </a:solidFill>
                <a:latin typeface="Cambria Math" panose="02040503050406030204" pitchFamily="18" charset="0"/>
                <a:ea typeface="+mn-ea"/>
                <a:cs typeface="+mn-cs"/>
              </a:endParaRPr>
            </a:p>
          </xdr:txBody>
        </xdr:sp>
      </mc:Choice>
      <mc:Fallback xmlns="">
        <xdr:sp macro="" textlink="">
          <xdr:nvSpPr>
            <xdr:cNvPr id="72" name="CuadroTexto 71"/>
            <xdr:cNvSpPr txBox="1"/>
          </xdr:nvSpPr>
          <xdr:spPr>
            <a:xfrm>
              <a:off x="1423707" y="40415696"/>
              <a:ext cx="196656"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indent="0"/>
              <a:r>
                <a:rPr lang="es-MX" sz="1400" b="0" i="0">
                  <a:solidFill>
                    <a:schemeClr val="tx1"/>
                  </a:solidFill>
                  <a:latin typeface="Cambria Math" panose="02040503050406030204" pitchFamily="18" charset="0"/>
                  <a:ea typeface="+mn-ea"/>
                  <a:cs typeface="+mn-cs"/>
                </a:rPr>
                <a:t>𝑉</a:t>
              </a:r>
              <a:r>
                <a:rPr lang="es-CO" sz="1400" b="0" i="0">
                  <a:solidFill>
                    <a:schemeClr val="tx1"/>
                  </a:solidFill>
                  <a:latin typeface="Cambria Math"/>
                  <a:ea typeface="+mn-ea"/>
                  <a:cs typeface="+mn-cs"/>
                </a:rPr>
                <a:t>_</a:t>
              </a:r>
              <a:r>
                <a:rPr lang="es-MX" sz="1400" b="0" i="0">
                  <a:solidFill>
                    <a:schemeClr val="tx1"/>
                  </a:solidFill>
                  <a:latin typeface="Cambria Math" panose="02040503050406030204" pitchFamily="18" charset="0"/>
                  <a:ea typeface="+mn-ea"/>
                  <a:cs typeface="+mn-cs"/>
                </a:rPr>
                <a:t>𝑡</a:t>
              </a:r>
              <a:endParaRPr lang="es-CO" sz="1400" b="0" i="1">
                <a:solidFill>
                  <a:schemeClr val="tx1"/>
                </a:solidFill>
                <a:latin typeface="Cambria Math" panose="02040503050406030204" pitchFamily="18" charset="0"/>
                <a:ea typeface="+mn-ea"/>
                <a:cs typeface="+mn-cs"/>
              </a:endParaRPr>
            </a:p>
          </xdr:txBody>
        </xdr:sp>
      </mc:Fallback>
    </mc:AlternateContent>
    <xdr:clientData/>
  </xdr:oneCellAnchor>
  <xdr:twoCellAnchor>
    <xdr:from>
      <xdr:col>16</xdr:col>
      <xdr:colOff>9525</xdr:colOff>
      <xdr:row>109</xdr:row>
      <xdr:rowOff>0</xdr:rowOff>
    </xdr:from>
    <xdr:to>
      <xdr:col>27</xdr:col>
      <xdr:colOff>726281</xdr:colOff>
      <xdr:row>123</xdr:row>
      <xdr:rowOff>371475</xdr:rowOff>
    </xdr:to>
    <xdr:graphicFrame macro="">
      <xdr:nvGraphicFramePr>
        <xdr:cNvPr id="45" name="Gráfico 44">
          <a:extLst>
            <a:ext uri="{FF2B5EF4-FFF2-40B4-BE49-F238E27FC236}">
              <a16:creationId xmlns:a16="http://schemas.microsoft.com/office/drawing/2014/main" id="{00000000-0008-0000-02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132</xdr:row>
      <xdr:rowOff>438149</xdr:rowOff>
    </xdr:from>
    <xdr:to>
      <xdr:col>27</xdr:col>
      <xdr:colOff>702468</xdr:colOff>
      <xdr:row>146</xdr:row>
      <xdr:rowOff>4761</xdr:rowOff>
    </xdr:to>
    <xdr:graphicFrame macro="">
      <xdr:nvGraphicFramePr>
        <xdr:cNvPr id="46" name="Gráfico 45">
          <a:extLst>
            <a:ext uri="{FF2B5EF4-FFF2-40B4-BE49-F238E27FC236}">
              <a16:creationId xmlns:a16="http://schemas.microsoft.com/office/drawing/2014/main" id="{00000000-0008-0000-02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16</xdr:col>
      <xdr:colOff>364088</xdr:colOff>
      <xdr:row>152</xdr:row>
      <xdr:rowOff>247164</xdr:rowOff>
    </xdr:from>
    <xdr:ext cx="354328" cy="283924"/>
    <mc:AlternateContent xmlns:mc="http://schemas.openxmlformats.org/markup-compatibility/2006" xmlns:a14="http://schemas.microsoft.com/office/drawing/2010/main">
      <mc:Choice Requires="a14">
        <xdr:sp macro="" textlink="">
          <xdr:nvSpPr>
            <xdr:cNvPr id="75" name="CuadroTexto 74">
              <a:extLst>
                <a:ext uri="{FF2B5EF4-FFF2-40B4-BE49-F238E27FC236}">
                  <a16:creationId xmlns:a16="http://schemas.microsoft.com/office/drawing/2014/main" id="{00000000-0008-0000-0200-00004B000000}"/>
                </a:ext>
              </a:extLst>
            </xdr:cNvPr>
            <xdr:cNvSpPr txBox="1"/>
          </xdr:nvSpPr>
          <xdr:spPr>
            <a:xfrm>
              <a:off x="21338527" y="64793618"/>
              <a:ext cx="354328" cy="283924"/>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type m:val="skw"/>
                        <m:ctrlPr>
                          <a:rPr lang="es-CO" sz="1100" i="1">
                            <a:latin typeface="Cambria Math" panose="02040503050406030204" pitchFamily="18" charset="0"/>
                          </a:rPr>
                        </m:ctrlPr>
                      </m:fPr>
                      <m:num>
                        <m:sSubSup>
                          <m:sSubSupPr>
                            <m:ctrlPr>
                              <a:rPr lang="es-CO" sz="1100" i="1">
                                <a:latin typeface="Cambria Math" panose="02040503050406030204" pitchFamily="18" charset="0"/>
                              </a:rPr>
                            </m:ctrlPr>
                          </m:sSubSupPr>
                          <m:e>
                            <m:r>
                              <a:rPr lang="es-CO" sz="1100" i="1">
                                <a:latin typeface="Cambria Math" panose="02040503050406030204" pitchFamily="18" charset="0"/>
                                <a:ea typeface="Cambria Math" panose="02040503050406030204" pitchFamily="18" charset="0"/>
                              </a:rPr>
                              <m:t>𝜇</m:t>
                            </m:r>
                          </m:e>
                          <m:sub>
                            <m:r>
                              <a:rPr lang="es-CO" sz="1100" b="0" i="1">
                                <a:latin typeface="Cambria Math" panose="02040503050406030204" pitchFamily="18" charset="0"/>
                              </a:rPr>
                              <m:t>𝑖</m:t>
                            </m:r>
                          </m:sub>
                          <m:sup>
                            <m:r>
                              <a:rPr lang="es-CO" sz="1100" b="0" i="1">
                                <a:latin typeface="Cambria Math" panose="02040503050406030204" pitchFamily="18" charset="0"/>
                              </a:rPr>
                              <m:t>4</m:t>
                            </m:r>
                          </m:sup>
                        </m:sSubSup>
                      </m:num>
                      <m:den>
                        <m:sSub>
                          <m:sSubPr>
                            <m:ctrlPr>
                              <a:rPr lang="es-CO" sz="1100" i="1">
                                <a:latin typeface="Cambria Math" panose="02040503050406030204" pitchFamily="18" charset="0"/>
                              </a:rPr>
                            </m:ctrlPr>
                          </m:sSubPr>
                          <m:e>
                            <m:r>
                              <a:rPr lang="es-CO" sz="1100" b="0" i="1">
                                <a:latin typeface="Cambria Math" panose="02040503050406030204" pitchFamily="18" charset="0"/>
                              </a:rPr>
                              <m:t>𝑣</m:t>
                            </m:r>
                          </m:e>
                          <m:sub>
                            <m:r>
                              <a:rPr lang="es-CO" sz="1100" b="0" i="1">
                                <a:latin typeface="Cambria Math" panose="02040503050406030204" pitchFamily="18" charset="0"/>
                              </a:rPr>
                              <m:t>𝑖</m:t>
                            </m:r>
                          </m:sub>
                        </m:sSub>
                      </m:den>
                    </m:f>
                  </m:oMath>
                </m:oMathPara>
              </a14:m>
              <a:endParaRPr lang="es-CO" sz="1100"/>
            </a:p>
          </xdr:txBody>
        </xdr:sp>
      </mc:Choice>
      <mc:Fallback xmlns="">
        <xdr:sp macro="" textlink="">
          <xdr:nvSpPr>
            <xdr:cNvPr id="75" name="CuadroTexto 74">
              <a:extLst>
                <a:ext uri="{FF2B5EF4-FFF2-40B4-BE49-F238E27FC236}">
                  <a16:creationId xmlns:a16="http://schemas.microsoft.com/office/drawing/2014/main" id="{00000000-0008-0000-0200-000015000000}"/>
                </a:ext>
              </a:extLst>
            </xdr:cNvPr>
            <xdr:cNvSpPr txBox="1"/>
          </xdr:nvSpPr>
          <xdr:spPr>
            <a:xfrm>
              <a:off x="21338527" y="64793618"/>
              <a:ext cx="354328" cy="283924"/>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wrap="none" lIns="0" tIns="0" rIns="0" bIns="0" rtlCol="0" anchor="t">
              <a:spAutoFit/>
            </a:bodyPr>
            <a:lstStyle/>
            <a:p>
              <a:pPr/>
              <a:r>
                <a:rPr lang="es-CO" sz="1100" i="0">
                  <a:latin typeface="Cambria Math" panose="02040503050406030204" pitchFamily="18" charset="0"/>
                </a:rPr>
                <a:t>(</a:t>
              </a:r>
              <a:r>
                <a:rPr lang="es-CO" sz="1100" i="0">
                  <a:latin typeface="Cambria Math" panose="02040503050406030204" pitchFamily="18" charset="0"/>
                  <a:ea typeface="Cambria Math" panose="02040503050406030204" pitchFamily="18" charset="0"/>
                </a:rPr>
                <a:t>𝜇_</a:t>
              </a:r>
              <a:r>
                <a:rPr lang="es-CO" sz="1100" b="0" i="0">
                  <a:latin typeface="Cambria Math" panose="02040503050406030204" pitchFamily="18" charset="0"/>
                </a:rPr>
                <a:t>𝑖^4)⁄𝑣_𝑖 </a:t>
              </a:r>
              <a:endParaRPr lang="es-CO" sz="1100"/>
            </a:p>
          </xdr:txBody>
        </xdr:sp>
      </mc:Fallback>
    </mc:AlternateContent>
    <xdr:clientData/>
  </xdr:oneCellAnchor>
  <xdr:twoCellAnchor editAs="oneCell">
    <xdr:from>
      <xdr:col>1</xdr:col>
      <xdr:colOff>398319</xdr:colOff>
      <xdr:row>148</xdr:row>
      <xdr:rowOff>8659</xdr:rowOff>
    </xdr:from>
    <xdr:to>
      <xdr:col>6</xdr:col>
      <xdr:colOff>1232138</xdr:colOff>
      <xdr:row>149</xdr:row>
      <xdr:rowOff>441614</xdr:rowOff>
    </xdr:to>
    <xdr:pic>
      <xdr:nvPicPr>
        <xdr:cNvPr id="77" name="Imagen 76">
          <a:extLst>
            <a:ext uri="{FF2B5EF4-FFF2-40B4-BE49-F238E27FC236}">
              <a16:creationId xmlns:a16="http://schemas.microsoft.com/office/drawing/2014/main" id="{00000000-0008-0000-0200-00004D000000}"/>
            </a:ext>
          </a:extLst>
        </xdr:cNvPr>
        <xdr:cNvPicPr>
          <a:picLocks noChangeAspect="1"/>
        </xdr:cNvPicPr>
      </xdr:nvPicPr>
      <xdr:blipFill>
        <a:blip xmlns:r="http://schemas.openxmlformats.org/officeDocument/2006/relationships" r:embed="rId5"/>
        <a:stretch>
          <a:fillRect/>
        </a:stretch>
      </xdr:blipFill>
      <xdr:spPr>
        <a:xfrm>
          <a:off x="3255819" y="62613886"/>
          <a:ext cx="7845136" cy="93518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18</xdr:col>
      <xdr:colOff>0</xdr:colOff>
      <xdr:row>152</xdr:row>
      <xdr:rowOff>0</xdr:rowOff>
    </xdr:from>
    <xdr:to>
      <xdr:col>27</xdr:col>
      <xdr:colOff>702468</xdr:colOff>
      <xdr:row>171</xdr:row>
      <xdr:rowOff>0</xdr:rowOff>
    </xdr:to>
    <xdr:graphicFrame macro="">
      <xdr:nvGraphicFramePr>
        <xdr:cNvPr id="78" name="Gráfico 77">
          <a:extLst>
            <a:ext uri="{FF2B5EF4-FFF2-40B4-BE49-F238E27FC236}">
              <a16:creationId xmlns:a16="http://schemas.microsoft.com/office/drawing/2014/main" id="{00000000-0008-0000-0200-00004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2140324</xdr:colOff>
      <xdr:row>0</xdr:row>
      <xdr:rowOff>33617</xdr:rowOff>
    </xdr:from>
    <xdr:to>
      <xdr:col>1</xdr:col>
      <xdr:colOff>546982</xdr:colOff>
      <xdr:row>0</xdr:row>
      <xdr:rowOff>907676</xdr:rowOff>
    </xdr:to>
    <xdr:pic>
      <xdr:nvPicPr>
        <xdr:cNvPr id="3" name="2 Imagen">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7"/>
        <a:stretch>
          <a:fillRect/>
        </a:stretch>
      </xdr:blipFill>
      <xdr:spPr>
        <a:xfrm>
          <a:off x="2140324" y="33617"/>
          <a:ext cx="1869276" cy="8740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107155</xdr:colOff>
      <xdr:row>0</xdr:row>
      <xdr:rowOff>261938</xdr:rowOff>
    </xdr:from>
    <xdr:to>
      <xdr:col>2</xdr:col>
      <xdr:colOff>475917</xdr:colOff>
      <xdr:row>0</xdr:row>
      <xdr:rowOff>762000</xdr:rowOff>
    </xdr:to>
    <xdr:pic>
      <xdr:nvPicPr>
        <xdr:cNvPr id="3" name="2 Imagen">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107155" y="261938"/>
          <a:ext cx="2321387" cy="5000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250032</xdr:colOff>
      <xdr:row>0</xdr:row>
      <xdr:rowOff>250032</xdr:rowOff>
    </xdr:from>
    <xdr:to>
      <xdr:col>2</xdr:col>
      <xdr:colOff>837578</xdr:colOff>
      <xdr:row>0</xdr:row>
      <xdr:rowOff>835299</xdr:rowOff>
    </xdr:to>
    <xdr:pic>
      <xdr:nvPicPr>
        <xdr:cNvPr id="3" name="2 Imagen">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250032" y="250032"/>
          <a:ext cx="2706859" cy="5852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5</xdr:col>
      <xdr:colOff>180976</xdr:colOff>
      <xdr:row>26</xdr:row>
      <xdr:rowOff>37084</xdr:rowOff>
    </xdr:from>
    <xdr:ext cx="2343149" cy="40106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500-000002000000}"/>
                </a:ext>
              </a:extLst>
            </xdr:cNvPr>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𝑽𝒎𝒊𝒏</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2" name="CuadroTexto 1"/>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𝝏𝑫/𝝏𝑽𝒎𝒊𝒏=−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422406</xdr:colOff>
      <xdr:row>29</xdr:row>
      <xdr:rowOff>8282</xdr:rowOff>
    </xdr:from>
    <xdr:ext cx="1880159" cy="33130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500-000003000000}"/>
                </a:ext>
              </a:extLst>
            </xdr:cNvPr>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𝑽𝒎𝒂𝒙𝒍𝒆𝒄</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3" name="CuadroTexto 2"/>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𝑽𝒎𝒂𝒙𝒍𝒆𝒄=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373865</xdr:colOff>
      <xdr:row>30</xdr:row>
      <xdr:rowOff>46250</xdr:rowOff>
    </xdr:from>
    <xdr:ext cx="1920794" cy="395793"/>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500-000004000000}"/>
                </a:ext>
              </a:extLst>
            </xdr:cNvPr>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𝑽𝒎𝒊𝒏𝒍𝒆𝒄</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 name="CuadroTexto 3"/>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𝑽𝒎𝒊𝒏𝒍𝒆𝒄=  𝟏/𝒏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697334</xdr:colOff>
      <xdr:row>35</xdr:row>
      <xdr:rowOff>37181</xdr:rowOff>
    </xdr:from>
    <xdr:ext cx="1111805" cy="39220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500-000005000000}"/>
                </a:ext>
              </a:extLst>
            </xdr:cNvPr>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𝑽𝑫𝒎𝒆𝒕𝒐</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𝝏𝑫/𝝏𝑽𝑫𝒎𝒆𝒕𝒐=𝟏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444212</xdr:colOff>
      <xdr:row>25</xdr:row>
      <xdr:rowOff>60614</xdr:rowOff>
    </xdr:from>
    <xdr:ext cx="1842654" cy="353291"/>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500-000006000000}"/>
                </a:ext>
              </a:extLst>
            </xdr:cNvPr>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𝑽𝒎𝒂𝒙</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Choice>
      <mc:Fallback xmlns="">
        <xdr:sp macro="" textlink="">
          <xdr:nvSpPr>
            <xdr:cNvPr id="6" name="CuadroTexto 5"/>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𝝏𝑫/𝝏𝑽𝒎𝒂𝒙=  𝟏/𝒏</a:t>
              </a:r>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Fallback>
    </mc:AlternateContent>
    <xdr:clientData/>
  </xdr:oneCellAnchor>
  <xdr:oneCellAnchor>
    <xdr:from>
      <xdr:col>5</xdr:col>
      <xdr:colOff>734083</xdr:colOff>
      <xdr:row>33</xdr:row>
      <xdr:rowOff>38458</xdr:rowOff>
    </xdr:from>
    <xdr:ext cx="1115500" cy="395793"/>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500-000007000000}"/>
                </a:ext>
              </a:extLst>
            </xdr:cNvPr>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m:t>
                        </m:r>
                        <m:r>
                          <a:rPr lang="es-CO" sz="1100" b="1" i="1">
                            <a:solidFill>
                              <a:schemeClr val="tx1"/>
                            </a:solidFill>
                            <a:effectLst/>
                            <a:latin typeface="Cambria Math" panose="02040503050406030204" pitchFamily="18" charset="0"/>
                            <a:ea typeface="+mn-ea"/>
                            <a:cs typeface="+mn-cs"/>
                          </a:rPr>
                          <m:t> </m:t>
                        </m:r>
                        <m:r>
                          <a:rPr lang="es-CO" sz="1100" b="1" i="1">
                            <a:solidFill>
                              <a:schemeClr val="tx1"/>
                            </a:solidFill>
                            <a:effectLst/>
                            <a:latin typeface="Cambria Math" panose="02040503050406030204" pitchFamily="18" charset="0"/>
                            <a:ea typeface="+mn-ea"/>
                            <a:cs typeface="+mn-cs"/>
                          </a:rPr>
                          <m:t>𝒊𝒏𝒉𝒐</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 𝒊𝒏𝒉𝒐)=𝟏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19</xdr:col>
      <xdr:colOff>183089</xdr:colOff>
      <xdr:row>15</xdr:row>
      <xdr:rowOff>54808</xdr:rowOff>
    </xdr:from>
    <xdr:ext cx="485775" cy="27176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500-000008000000}"/>
                </a:ext>
              </a:extLst>
            </xdr:cNvPr>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8" name="CuadroTexto 7"/>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12</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500-000009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panose="02040503050406030204" pitchFamily="18" charset="0"/>
                        </a:rPr>
                      </m:ctrlPr>
                    </m:fPr>
                    <m:num>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9" name="CuadroTexto 8"/>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11</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500-00000A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10" name="CuadroTexto 9"/>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10</xdr:col>
      <xdr:colOff>275038</xdr:colOff>
      <xdr:row>49</xdr:row>
      <xdr:rowOff>317276</xdr:rowOff>
    </xdr:from>
    <xdr:ext cx="1582337" cy="647129"/>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5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𝒔𝒑</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𝑽𝒔𝒑</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4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(𝑽_𝒔𝒑)∑_𝒊▒(𝝏𝑽𝒔𝒑/𝝏𝒙𝒊(𝒙𝒊))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19</xdr:col>
      <xdr:colOff>212913</xdr:colOff>
      <xdr:row>14</xdr:row>
      <xdr:rowOff>39654</xdr:rowOff>
    </xdr:from>
    <xdr:ext cx="610160" cy="184474"/>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500-00000F000000}"/>
                </a:ext>
              </a:extLst>
            </xdr:cNvPr>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14:m>
                <m:oMathPara xmlns:m="http://schemas.openxmlformats.org/officeDocument/2006/math">
                  <m:oMathParaPr>
                    <m:jc m:val="centerGroup"/>
                  </m:oMathParaPr>
                  <m:oMath xmlns:m="http://schemas.openxmlformats.org/officeDocument/2006/math">
                    <m:sSub>
                      <m:sSubPr>
                        <m:ctrlPr>
                          <a:rPr lang="es-CO" sz="1100" b="1" i="1">
                            <a:solidFill>
                              <a:schemeClr val="bg1"/>
                            </a:solidFill>
                            <a:latin typeface="Cambria Math" panose="02040503050406030204" pitchFamily="18" charset="0"/>
                            <a:cs typeface="Times New Roman" panose="02020603050405020304" pitchFamily="18" charset="0"/>
                          </a:rPr>
                        </m:ctrlPr>
                      </m:sSubPr>
                      <m:e>
                        <m:r>
                          <m:rPr>
                            <m:nor/>
                          </m:rPr>
                          <a:rPr lang="es-CO" sz="1100" b="1" i="1">
                            <a:solidFill>
                              <a:schemeClr val="bg1"/>
                            </a:solidFill>
                            <a:effectLst/>
                            <a:latin typeface="+mn-lt"/>
                            <a:ea typeface="+mn-ea"/>
                            <a:cs typeface="+mn-cs"/>
                          </a:rPr>
                          <m:t>s</m:t>
                        </m:r>
                        <m:r>
                          <m:rPr>
                            <m:nor/>
                          </m:rPr>
                          <a:rPr lang="es-CO" sz="1100" b="1" i="1">
                            <a:solidFill>
                              <a:schemeClr val="bg1"/>
                            </a:solidFill>
                            <a:effectLst/>
                            <a:latin typeface="+mn-lt"/>
                            <a:ea typeface="+mn-ea"/>
                            <a:cs typeface="+mn-cs"/>
                          </a:rPr>
                          <m:t>  </m:t>
                        </m:r>
                        <m:r>
                          <m:rPr>
                            <m:nor/>
                          </m:rPr>
                          <a:rPr lang="es-CO" sz="1100" b="1" i="1">
                            <a:solidFill>
                              <a:schemeClr val="bg1"/>
                            </a:solidFill>
                            <a:effectLst/>
                            <a:latin typeface="+mn-lt"/>
                            <a:ea typeface="+mn-ea"/>
                            <a:cs typeface="+mn-cs"/>
                          </a:rPr>
                          <m:t>D</m:t>
                        </m:r>
                      </m:e>
                      <m:sub>
                        <m:r>
                          <a:rPr lang="es-CO" sz="1100" b="1" i="1">
                            <a:solidFill>
                              <a:schemeClr val="bg1"/>
                            </a:solidFill>
                            <a:latin typeface="Cambria Math" panose="02040503050406030204" pitchFamily="18" charset="0"/>
                            <a:cs typeface="Times New Roman" panose="02020603050405020304" pitchFamily="18" charset="0"/>
                          </a:rPr>
                          <m:t>𝒑𝒓𝒐𝒎</m:t>
                        </m:r>
                      </m:sub>
                    </m:sSub>
                  </m:oMath>
                </m:oMathPara>
              </a14:m>
              <a:endParaRPr lang="es-CO" sz="1100" b="1" i="1">
                <a:solidFill>
                  <a:schemeClr val="bg1"/>
                </a:solidFill>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s-CO" sz="1100" b="1" i="0">
                  <a:solidFill>
                    <a:schemeClr val="bg1"/>
                  </a:solidFill>
                  <a:latin typeface="Cambria Math" panose="02040503050406030204" pitchFamily="18" charset="0"/>
                  <a:cs typeface="Times New Roman" panose="02020603050405020304" pitchFamily="18" charset="0"/>
                </a:rPr>
                <a:t>〖</a:t>
              </a:r>
              <a:r>
                <a:rPr lang="es-CO" sz="1100" b="1" i="0">
                  <a:solidFill>
                    <a:schemeClr val="bg1"/>
                  </a:solidFill>
                  <a:effectLst/>
                  <a:latin typeface="+mn-lt"/>
                  <a:ea typeface="+mn-ea"/>
                  <a:cs typeface="+mn-cs"/>
                </a:rPr>
                <a:t>"s  D</a:t>
              </a:r>
              <a:r>
                <a:rPr lang="es-CO" sz="1100" b="1" i="0">
                  <a:solidFill>
                    <a:schemeClr val="bg1"/>
                  </a:solidFill>
                  <a:effectLst/>
                  <a:latin typeface="Cambria Math" panose="02040503050406030204" pitchFamily="18" charset="0"/>
                  <a:ea typeface="+mn-ea"/>
                  <a:cs typeface="+mn-cs"/>
                </a:rPr>
                <a:t>" 〗_</a:t>
              </a:r>
              <a:r>
                <a:rPr lang="es-CO" sz="1100" b="1" i="0">
                  <a:solidFill>
                    <a:schemeClr val="bg1"/>
                  </a:solidFill>
                  <a:latin typeface="Cambria Math" panose="02040503050406030204" pitchFamily="18" charset="0"/>
                  <a:cs typeface="Times New Roman" panose="02020603050405020304" pitchFamily="18" charset="0"/>
                </a:rPr>
                <a:t>𝒑𝒓𝒐𝒎</a:t>
              </a:r>
              <a:endParaRPr lang="es-CO" sz="1100" b="1" i="1">
                <a:solidFill>
                  <a:schemeClr val="bg1"/>
                </a:solidFill>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2</xdr:col>
      <xdr:colOff>275905</xdr:colOff>
      <xdr:row>31</xdr:row>
      <xdr:rowOff>95250</xdr:rowOff>
    </xdr:from>
    <xdr:ext cx="2540773" cy="284693"/>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500-000010000000}"/>
                </a:ext>
              </a:extLst>
            </xdr:cNvPr>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panose="02040503050406030204" pitchFamily="18" charset="0"/>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panose="02040503050406030204" pitchFamily="18" charset="0"/>
                        </a:rPr>
                      </m:ctrlPr>
                    </m:radPr>
                    <m:deg/>
                    <m:e>
                      <m:sSubSup>
                        <m:sSubSupPr>
                          <m:ctrlPr>
                            <a:rPr lang="es-CO" sz="800" b="1" i="1" baseline="0">
                              <a:latin typeface="Cambria Math" panose="02040503050406030204" pitchFamily="18" charset="0"/>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panose="02040503050406030204" pitchFamily="18" charset="0"/>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1100" i="1">
                          <a:latin typeface="Cambria Math" panose="02040503050406030204" pitchFamily="18" charset="0"/>
                        </a:rPr>
                      </m:ctrlPr>
                    </m:sSupPr>
                    <m:e>
                      <m:r>
                        <m:rPr>
                          <m:nor/>
                        </m:rPr>
                        <a:rPr lang="es-CO" sz="1100">
                          <a:solidFill>
                            <a:schemeClr val="tx1"/>
                          </a:solidFill>
                          <a:effectLst/>
                          <a:latin typeface="+mn-lt"/>
                          <a:ea typeface="+mn-ea"/>
                          <a:cs typeface="+mn-cs"/>
                        </a:rPr>
                        <m:t>(</m:t>
                      </m:r>
                      <m:f>
                        <m:fPr>
                          <m:ctrlPr>
                            <a:rPr lang="es-CO" sz="1100" b="1" i="1">
                              <a:solidFill>
                                <a:schemeClr val="tx1"/>
                              </a:solidFill>
                              <a:effectLst/>
                              <a:latin typeface="Cambria Math" panose="02040503050406030204" pitchFamily="18" charset="0"/>
                              <a:ea typeface="+mn-ea"/>
                              <a:cs typeface="+mn-cs"/>
                            </a:rPr>
                          </m:ctrlPr>
                        </m:fPr>
                        <m:num>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𝑴𝒂𝒙</m:t>
                              </m:r>
                            </m:sub>
                          </m:sSub>
                          <m:r>
                            <a:rPr lang="es-CO" sz="1100" b="1" i="1">
                              <a:solidFill>
                                <a:schemeClr val="tx1"/>
                              </a:solidFill>
                              <a:effectLst/>
                              <a:latin typeface="Cambria Math" panose="02040503050406030204" pitchFamily="18" charset="0"/>
                              <a:ea typeface="+mn-ea"/>
                              <a:cs typeface="+mn-cs"/>
                            </a:rPr>
                            <m:t> − </m:t>
                          </m:r>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𝑴𝒊𝒏</m:t>
                              </m:r>
                            </m:sub>
                          </m:sSub>
                        </m:num>
                        <m:den>
                          <m:rad>
                            <m:radPr>
                              <m:degHide m:val="on"/>
                              <m:ctrlPr>
                                <a:rPr lang="es-CO" sz="1100" b="1" i="1">
                                  <a:solidFill>
                                    <a:schemeClr val="tx1"/>
                                  </a:solidFill>
                                  <a:effectLst/>
                                  <a:latin typeface="Cambria Math" panose="02040503050406030204" pitchFamily="18" charset="0"/>
                                  <a:ea typeface="+mn-ea"/>
                                  <a:cs typeface="+mn-cs"/>
                                </a:rPr>
                              </m:ctrlPr>
                            </m:radPr>
                            <m:deg/>
                            <m:e>
                              <m:r>
                                <a:rPr lang="es-CO" sz="1100" b="1" i="1">
                                  <a:solidFill>
                                    <a:schemeClr val="tx1"/>
                                  </a:solidFill>
                                  <a:effectLst/>
                                  <a:latin typeface="Cambria Math" panose="02040503050406030204" pitchFamily="18" charset="0"/>
                                  <a:ea typeface="+mn-ea"/>
                                  <a:cs typeface="+mn-cs"/>
                                </a:rPr>
                                <m:t>𝟏𝟐</m:t>
                              </m:r>
                            </m:e>
                          </m:rad>
                        </m:den>
                      </m:f>
                      <m:r>
                        <m:rPr>
                          <m:nor/>
                        </m:rPr>
                        <a:rPr lang="es-CO" sz="1100" b="1">
                          <a:solidFill>
                            <a:schemeClr val="tx1"/>
                          </a:solidFill>
                          <a:effectLst/>
                          <a:latin typeface="+mn-lt"/>
                          <a:ea typeface="+mn-ea"/>
                          <a:cs typeface="+mn-cs"/>
                        </a:rPr>
                        <m:t>)</m:t>
                      </m:r>
                      <m:r>
                        <m:rPr>
                          <m:nor/>
                        </m:rPr>
                        <a:rPr lang="es-CO" sz="1100" b="1">
                          <a:effectLst/>
                        </a:rPr>
                        <m:t> </m:t>
                      </m:r>
                    </m:e>
                    <m:sup>
                      <m:r>
                        <a:rPr lang="es-CO" sz="1100" b="0" i="1">
                          <a:latin typeface="Cambria Math" panose="02040503050406030204" pitchFamily="18" charset="0"/>
                        </a:rPr>
                        <m:t>2</m:t>
                      </m:r>
                    </m:sup>
                  </m:sSup>
                </m:oMath>
              </a14:m>
              <a:endParaRPr lang="es-CO" sz="1100"/>
            </a:p>
          </xdr:txBody>
        </xdr:sp>
      </mc:Choice>
      <mc:Fallback xmlns="">
        <xdr:sp macro="" textlink="">
          <xdr:nvSpPr>
            <xdr:cNvPr id="16" name="CuadroTexto 15"/>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1100" i="0">
                  <a:latin typeface="Cambria Math" panose="02040503050406030204" pitchFamily="18" charset="0"/>
                </a:rPr>
                <a:t>〖</a:t>
              </a:r>
              <a:r>
                <a:rPr lang="es-CO" sz="1100" i="0">
                  <a:solidFill>
                    <a:schemeClr val="tx1"/>
                  </a:solidFill>
                  <a:effectLst/>
                  <a:latin typeface="+mn-lt"/>
                  <a:ea typeface="+mn-ea"/>
                  <a:cs typeface="+mn-cs"/>
                </a:rPr>
                <a:t>"(</a:t>
              </a:r>
              <a:r>
                <a:rPr lang="es-CO" sz="1100" b="1" i="0">
                  <a:solidFill>
                    <a:schemeClr val="tx1"/>
                  </a:solidFill>
                  <a:effectLst/>
                  <a:latin typeface="Cambria Math" panose="02040503050406030204" pitchFamily="18" charset="0"/>
                  <a:ea typeface="+mn-ea"/>
                  <a:cs typeface="+mn-cs"/>
                </a:rPr>
                <a:t>"  (𝑬_𝑴𝒂𝒙  − 𝑬_𝑴𝒊𝒏)/√𝟏𝟐</a:t>
              </a:r>
              <a:r>
                <a:rPr lang="es-CO" sz="1100" b="1" i="0">
                  <a:solidFill>
                    <a:schemeClr val="tx1"/>
                  </a:solidFill>
                  <a:effectLst/>
                  <a:latin typeface="+mn-lt"/>
                  <a:ea typeface="+mn-ea"/>
                  <a:cs typeface="+mn-cs"/>
                </a:rPr>
                <a:t> ")</a:t>
              </a:r>
              <a:r>
                <a:rPr lang="es-CO" sz="1100" b="1" i="0">
                  <a:effectLst/>
                </a:rPr>
                <a:t> </a:t>
              </a:r>
              <a:r>
                <a:rPr lang="es-CO" sz="1100" b="1" i="0">
                  <a:effectLst/>
                  <a:latin typeface="Cambria Math" panose="02040503050406030204" pitchFamily="18" charset="0"/>
                </a:rPr>
                <a:t>" 〗^</a:t>
              </a:r>
              <a:r>
                <a:rPr lang="es-CO" sz="1100" b="0" i="0">
                  <a:latin typeface="Cambria Math" panose="02040503050406030204" pitchFamily="18" charset="0"/>
                </a:rPr>
                <a:t>2</a:t>
              </a:r>
              <a:endParaRPr lang="es-CO" sz="1100"/>
            </a:p>
          </xdr:txBody>
        </xdr:sp>
      </mc:Fallback>
    </mc:AlternateContent>
    <xdr:clientData/>
  </xdr:oneCellAnchor>
  <xdr:oneCellAnchor>
    <xdr:from>
      <xdr:col>20</xdr:col>
      <xdr:colOff>191239</xdr:colOff>
      <xdr:row>18</xdr:row>
      <xdr:rowOff>85618</xdr:rowOff>
    </xdr:from>
    <xdr:ext cx="525812" cy="172227"/>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500-000012000000}"/>
                </a:ext>
              </a:extLst>
            </xdr:cNvPr>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solidFill>
                          <a:schemeClr val="bg1"/>
                        </a:solidFill>
                        <a:effectLst/>
                        <a:latin typeface="Cambria Math" panose="02040503050406030204" pitchFamily="18" charset="0"/>
                        <a:ea typeface="+mn-ea"/>
                        <a:cs typeface="+mn-cs"/>
                      </a:rPr>
                      <m:t>∆</m:t>
                    </m:r>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𝑴𝒂𝒙</m:t>
                        </m:r>
                      </m:sub>
                    </m:sSub>
                  </m:oMath>
                </m:oMathPara>
              </a14:m>
              <a:endParaRPr lang="es-CO" sz="1100">
                <a:solidFill>
                  <a:schemeClr val="bg1"/>
                </a:solidFill>
              </a:endParaRPr>
            </a:p>
          </xdr:txBody>
        </xdr:sp>
      </mc:Choice>
      <mc:Fallback xmlns="">
        <xdr:sp macro="" textlink="">
          <xdr:nvSpPr>
            <xdr:cNvPr id="18" name="CuadroTexto 17"/>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effectLst/>
                  <a:latin typeface="Cambria Math" panose="02040503050406030204" pitchFamily="18" charset="0"/>
                  <a:ea typeface="+mn-ea"/>
                  <a:cs typeface="+mn-cs"/>
                </a:rPr>
                <a:t>∆𝑽_𝑴𝒂𝒙</a:t>
              </a:r>
              <a:endParaRPr lang="es-CO" sz="1100">
                <a:solidFill>
                  <a:schemeClr val="bg1"/>
                </a:solidFill>
              </a:endParaRPr>
            </a:p>
          </xdr:txBody>
        </xdr:sp>
      </mc:Fallback>
    </mc:AlternateContent>
    <xdr:clientData/>
  </xdr:oneCellAnchor>
  <xdr:oneCellAnchor>
    <xdr:from>
      <xdr:col>20</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500-000013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19" name="CuadroTexto 18"/>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20</xdr:col>
      <xdr:colOff>197261</xdr:colOff>
      <xdr:row>19</xdr:row>
      <xdr:rowOff>64214</xdr:rowOff>
    </xdr:from>
    <xdr:ext cx="487684" cy="226276"/>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00000000-0008-0000-0500-000018000000}"/>
                </a:ext>
              </a:extLst>
            </xdr:cNvPr>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0" i="1">
                        <a:solidFill>
                          <a:schemeClr val="bg1"/>
                        </a:solidFill>
                        <a:effectLst/>
                        <a:latin typeface="Cambria Math" panose="02040503050406030204" pitchFamily="18" charset="0"/>
                        <a:ea typeface="+mn-ea"/>
                        <a:cs typeface="+mn-cs"/>
                      </a:rPr>
                      <m:t>∆</m:t>
                    </m:r>
                    <m:sSub>
                      <m:sSubPr>
                        <m:ctrlPr>
                          <a:rPr lang="es-CO" sz="1100" b="0" i="1">
                            <a:solidFill>
                              <a:schemeClr val="bg1"/>
                            </a:solidFill>
                            <a:effectLst/>
                            <a:latin typeface="Cambria Math" panose="02040503050406030204" pitchFamily="18" charset="0"/>
                            <a:ea typeface="+mn-ea"/>
                            <a:cs typeface="+mn-cs"/>
                          </a:rPr>
                        </m:ctrlPr>
                      </m:sSubPr>
                      <m:e>
                        <m:r>
                          <a:rPr lang="es-CO" sz="1100" b="0" i="1">
                            <a:solidFill>
                              <a:schemeClr val="bg1"/>
                            </a:solidFill>
                            <a:effectLst/>
                            <a:latin typeface="Cambria Math" panose="02040503050406030204" pitchFamily="18" charset="0"/>
                            <a:ea typeface="+mn-ea"/>
                            <a:cs typeface="+mn-cs"/>
                          </a:rPr>
                          <m:t>𝑉</m:t>
                        </m:r>
                      </m:e>
                      <m:sub>
                        <m:r>
                          <a:rPr lang="es-CO" sz="1100" b="0" i="1">
                            <a:solidFill>
                              <a:schemeClr val="bg1"/>
                            </a:solidFill>
                            <a:effectLst/>
                            <a:latin typeface="Cambria Math" panose="02040503050406030204" pitchFamily="18" charset="0"/>
                            <a:ea typeface="+mn-ea"/>
                            <a:cs typeface="+mn-cs"/>
                          </a:rPr>
                          <m:t>𝑀𝑖𝑛</m:t>
                        </m:r>
                      </m:sub>
                    </m:sSub>
                  </m:oMath>
                </m:oMathPara>
              </a14:m>
              <a:endParaRPr lang="es-CO" sz="1100" b="0">
                <a:solidFill>
                  <a:schemeClr val="bg1"/>
                </a:solidFill>
              </a:endParaRPr>
            </a:p>
          </xdr:txBody>
        </xdr:sp>
      </mc:Choice>
      <mc:Fallback xmlns="">
        <xdr:sp macro="" textlink="">
          <xdr:nvSpPr>
            <xdr:cNvPr id="24" name="CuadroTexto 23"/>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0" i="0">
                  <a:solidFill>
                    <a:schemeClr val="bg1"/>
                  </a:solidFill>
                  <a:effectLst/>
                  <a:latin typeface="Cambria Math" panose="02040503050406030204" pitchFamily="18" charset="0"/>
                  <a:ea typeface="+mn-ea"/>
                  <a:cs typeface="+mn-cs"/>
                </a:rPr>
                <a:t>∆𝑉_𝑀𝑖𝑛</a:t>
              </a:r>
              <a:endParaRPr lang="es-CO" sz="1100" b="0">
                <a:solidFill>
                  <a:schemeClr val="bg1"/>
                </a:solidFill>
              </a:endParaRPr>
            </a:p>
          </xdr:txBody>
        </xdr:sp>
      </mc:Fallback>
    </mc:AlternateContent>
    <xdr:clientData/>
  </xdr:oneCellAnchor>
  <xdr:oneCellAnchor>
    <xdr:from>
      <xdr:col>2</xdr:col>
      <xdr:colOff>269421</xdr:colOff>
      <xdr:row>44</xdr:row>
      <xdr:rowOff>299357</xdr:rowOff>
    </xdr:from>
    <xdr:ext cx="900793" cy="172227"/>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500-000019000000}"/>
                </a:ext>
              </a:extLst>
            </xdr:cNvPr>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𝒎𝒂𝒙</m:t>
                        </m:r>
                      </m:sub>
                    </m:sSub>
                  </m:oMath>
                </m:oMathPara>
              </a14:m>
              <a:endParaRPr lang="es-CO" sz="1100" b="1"/>
            </a:p>
          </xdr:txBody>
        </xdr:sp>
      </mc:Choice>
      <mc:Fallback xmlns="">
        <xdr:sp macro="" textlink="">
          <xdr:nvSpPr>
            <xdr:cNvPr id="25" name="CuadroTexto 24"/>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𝒎𝒂𝒙</a:t>
              </a:r>
              <a:endParaRPr lang="es-CO" sz="1100" b="1"/>
            </a:p>
          </xdr:txBody>
        </xdr:sp>
      </mc:Fallback>
    </mc:AlternateContent>
    <xdr:clientData/>
  </xdr:oneCellAnchor>
  <xdr:oneCellAnchor>
    <xdr:from>
      <xdr:col>2</xdr:col>
      <xdr:colOff>408644</xdr:colOff>
      <xdr:row>47</xdr:row>
      <xdr:rowOff>257176</xdr:rowOff>
    </xdr:from>
    <xdr:ext cx="465320" cy="172227"/>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500-00001B000000}"/>
                </a:ext>
              </a:extLst>
            </xdr:cNvPr>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𝒊𝒏𝒉𝒐</m:t>
                        </m:r>
                        <m:r>
                          <a:rPr lang="es-CO" sz="1100" b="1" i="1">
                            <a:latin typeface="Cambria Math" panose="02040503050406030204" pitchFamily="18" charset="0"/>
                            <a:ea typeface="Cambria Math" panose="02040503050406030204" pitchFamily="18" charset="0"/>
                          </a:rPr>
                          <m:t> </m:t>
                        </m:r>
                      </m:sub>
                    </m:sSub>
                  </m:oMath>
                </m:oMathPara>
              </a14:m>
              <a:endParaRPr lang="es-CO" sz="1100" b="1"/>
            </a:p>
          </xdr:txBody>
        </xdr:sp>
      </mc:Choice>
      <mc:Fallback xmlns="">
        <xdr:sp macro="" textlink="">
          <xdr:nvSpPr>
            <xdr:cNvPr id="27" name="CuadroTexto 26"/>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𝒊𝒏𝒉𝒐 )</a:t>
              </a:r>
              <a:endParaRPr lang="es-CO" sz="1100" b="1"/>
            </a:p>
          </xdr:txBody>
        </xdr:sp>
      </mc:Fallback>
    </mc:AlternateContent>
    <xdr:clientData/>
  </xdr:oneCellAnchor>
  <xdr:oneCellAnchor>
    <xdr:from>
      <xdr:col>1</xdr:col>
      <xdr:colOff>401984</xdr:colOff>
      <xdr:row>48</xdr:row>
      <xdr:rowOff>165505</xdr:rowOff>
    </xdr:from>
    <xdr:ext cx="1635291" cy="325795"/>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500-00001C000000}"/>
                </a:ext>
              </a:extLst>
            </xdr:cNvPr>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000" b="1" i="1">
                        <a:latin typeface="Cambria Math" panose="02040503050406030204" pitchFamily="18" charset="0"/>
                      </a:rPr>
                      <m:t>𝒖</m:t>
                    </m:r>
                    <m:d>
                      <m:dPr>
                        <m:ctrlPr>
                          <a:rPr lang="es-CO" sz="1000" b="1" i="1">
                            <a:latin typeface="Cambria Math" panose="02040503050406030204" pitchFamily="18" charset="0"/>
                          </a:rPr>
                        </m:ctrlPr>
                      </m:dPr>
                      <m:e>
                        <m:sSub>
                          <m:sSubPr>
                            <m:ctrlPr>
                              <a:rPr lang="es-CO" sz="1000" b="1" i="1">
                                <a:latin typeface="Cambria Math" panose="02040503050406030204" pitchFamily="18" charset="0"/>
                              </a:rPr>
                            </m:ctrlPr>
                          </m:sSubPr>
                          <m:e>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𝑫</m:t>
                            </m:r>
                          </m:e>
                          <m:sub>
                            <m:r>
                              <a:rPr lang="es-CO" sz="1000" b="1" i="1">
                                <a:latin typeface="Cambria Math" panose="02040503050406030204" pitchFamily="18" charset="0"/>
                              </a:rPr>
                              <m:t>𝒎𝒆𝒕</m:t>
                            </m:r>
                          </m:sub>
                        </m:sSub>
                        <m:r>
                          <a:rPr lang="es-CO" sz="1000" b="1" i="1">
                            <a:latin typeface="Cambria Math" panose="02040503050406030204" pitchFamily="18" charset="0"/>
                          </a:rPr>
                          <m:t> </m:t>
                        </m:r>
                      </m:e>
                    </m:d>
                    <m:r>
                      <a:rPr lang="es-CO" sz="1000" b="1" i="1">
                        <a:latin typeface="Cambria Math" panose="02040503050406030204" pitchFamily="18" charset="0"/>
                      </a:rPr>
                      <m:t>=</m:t>
                    </m:r>
                    <m:f>
                      <m:fPr>
                        <m:ctrlPr>
                          <a:rPr lang="es-CO" sz="1000" b="1" i="1">
                            <a:latin typeface="Cambria Math" panose="02040503050406030204" pitchFamily="18" charset="0"/>
                          </a:rPr>
                        </m:ctrlPr>
                      </m:fPr>
                      <m:num>
                        <m:r>
                          <a:rPr lang="es-CO" sz="1000" b="1" i="1">
                            <a:latin typeface="Cambria Math" panose="02040503050406030204" pitchFamily="18" charset="0"/>
                          </a:rPr>
                          <m:t>𝒔</m:t>
                        </m:r>
                        <m:r>
                          <a:rPr lang="es-CO" sz="1000" b="1" i="1">
                            <a:latin typeface="Cambria Math" panose="02040503050406030204" pitchFamily="18" charset="0"/>
                          </a:rPr>
                          <m:t>(</m:t>
                        </m:r>
                        <m:sSub>
                          <m:sSubPr>
                            <m:ctrlPr>
                              <a:rPr lang="es-CO" sz="1000" b="1" i="1">
                                <a:latin typeface="Cambria Math" panose="02040503050406030204" pitchFamily="18" charset="0"/>
                              </a:rPr>
                            </m:ctrlPr>
                          </m:sSubPr>
                          <m:e>
                            <m:r>
                              <a:rPr lang="es-CO" sz="1000" b="1" i="1">
                                <a:latin typeface="Cambria Math" panose="02040503050406030204" pitchFamily="18" charset="0"/>
                              </a:rPr>
                              <m:t>𝑫</m:t>
                            </m:r>
                          </m:e>
                          <m:sub>
                            <m:r>
                              <a:rPr lang="es-CO" sz="1000" b="1" i="1">
                                <a:latin typeface="Cambria Math" panose="02040503050406030204" pitchFamily="18" charset="0"/>
                              </a:rPr>
                              <m:t>𝒑𝒓𝒐𝒎</m:t>
                            </m:r>
                          </m:sub>
                        </m:sSub>
                      </m:num>
                      <m:den>
                        <m:rad>
                          <m:radPr>
                            <m:degHide m:val="on"/>
                            <m:ctrlPr>
                              <a:rPr lang="es-CO" sz="1000" b="1" i="1">
                                <a:latin typeface="Cambria Math" panose="02040503050406030204" pitchFamily="18" charset="0"/>
                              </a:rPr>
                            </m:ctrlPr>
                          </m:radPr>
                          <m:deg/>
                          <m:e>
                            <m:r>
                              <a:rPr lang="es-CO" sz="1000" b="1" i="1">
                                <a:latin typeface="Cambria Math" panose="02040503050406030204" pitchFamily="18" charset="0"/>
                              </a:rPr>
                              <m:t>𝑵</m:t>
                            </m:r>
                          </m:e>
                        </m:rad>
                      </m:den>
                    </m:f>
                  </m:oMath>
                </m:oMathPara>
              </a14:m>
              <a:endParaRPr lang="es-CO" sz="1000" b="1" i="1" baseline="-25000"/>
            </a:p>
          </xdr:txBody>
        </xdr:sp>
      </mc:Choice>
      <mc:Fallback xmlns="">
        <xdr:sp macro="" textlink="">
          <xdr:nvSpPr>
            <xdr:cNvPr id="28" name="CuadroTexto 27"/>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000" b="1" i="0">
                  <a:latin typeface="Cambria Math" panose="02040503050406030204" pitchFamily="18" charset="0"/>
                </a:rPr>
                <a:t>𝒖(〖</a:t>
              </a:r>
              <a:r>
                <a:rPr lang="es-CO" sz="1000" b="1" i="0">
                  <a:solidFill>
                    <a:schemeClr val="tx1"/>
                  </a:solidFill>
                  <a:effectLst/>
                  <a:latin typeface="Cambria Math" panose="02040503050406030204" pitchFamily="18" charset="0"/>
                  <a:ea typeface="+mn-ea"/>
                  <a:cs typeface="+mn-cs"/>
                </a:rPr>
                <a:t>∆𝑫〗_</a:t>
              </a:r>
              <a:r>
                <a:rPr lang="es-CO" sz="1000" b="1" i="0">
                  <a:latin typeface="Cambria Math" panose="02040503050406030204" pitchFamily="18" charset="0"/>
                </a:rPr>
                <a:t>𝒎𝒆𝒕  )=(𝒔(𝑫_𝒑𝒓𝒐𝒎)/√𝑵</a:t>
              </a:r>
              <a:endParaRPr lang="es-CO" sz="1000" b="1" i="1" baseline="-25000"/>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id="{00000000-0008-0000-0500-00001D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29" name="CuadroTexto 28"/>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oneCellAnchor>
    <xdr:from>
      <xdr:col>12</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37" name="CuadroTexto 36">
              <a:extLst>
                <a:ext uri="{FF2B5EF4-FFF2-40B4-BE49-F238E27FC236}">
                  <a16:creationId xmlns:a16="http://schemas.microsoft.com/office/drawing/2014/main" id="{00000000-0008-0000-0500-000025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panose="02040503050406030204" pitchFamily="18" charset="0"/>
                        </a:rPr>
                      </m:ctrlPr>
                    </m:fPr>
                    <m:num>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37" name="CuadroTexto 36"/>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11</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500-000026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38" name="CuadroTexto 37"/>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2</xdr:col>
      <xdr:colOff>262756</xdr:colOff>
      <xdr:row>33</xdr:row>
      <xdr:rowOff>122976</xdr:rowOff>
    </xdr:from>
    <xdr:ext cx="2023243" cy="250518"/>
    <mc:AlternateContent xmlns:mc="http://schemas.openxmlformats.org/markup-compatibility/2006" xmlns:a14="http://schemas.microsoft.com/office/drawing/2010/main">
      <mc:Choice Requires="a14">
        <xdr:sp macro="" textlink="">
          <xdr:nvSpPr>
            <xdr:cNvPr id="44" name="CuadroTexto 43">
              <a:extLst>
                <a:ext uri="{FF2B5EF4-FFF2-40B4-BE49-F238E27FC236}">
                  <a16:creationId xmlns:a16="http://schemas.microsoft.com/office/drawing/2014/main" id="{00000000-0008-0000-0500-00002C000000}"/>
                </a:ext>
              </a:extLst>
            </xdr:cNvPr>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panose="02040503050406030204" pitchFamily="18" charset="0"/>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panose="02040503050406030204" pitchFamily="18" charset="0"/>
                        </a:rPr>
                      </m:ctrlPr>
                    </m:radPr>
                    <m:deg/>
                    <m:e>
                      <m:sSubSup>
                        <m:sSubSupPr>
                          <m:ctrlPr>
                            <a:rPr lang="es-CO" sz="800" b="1" i="1" baseline="0">
                              <a:latin typeface="Cambria Math" panose="02040503050406030204" pitchFamily="18" charset="0"/>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panose="02040503050406030204" pitchFamily="18" charset="0"/>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800" b="1" i="1">
                          <a:latin typeface="Cambria Math" panose="02040503050406030204" pitchFamily="18" charset="0"/>
                        </a:rPr>
                      </m:ctrlPr>
                    </m:sSupPr>
                    <m:e>
                      <m:r>
                        <m:rPr>
                          <m:nor/>
                        </m:rPr>
                        <a:rPr lang="es-CO" sz="800" b="1">
                          <a:solidFill>
                            <a:schemeClr val="tx1"/>
                          </a:solidFill>
                          <a:effectLst/>
                          <a:latin typeface="+mn-lt"/>
                          <a:ea typeface="+mn-ea"/>
                          <a:cs typeface="+mn-cs"/>
                        </a:rPr>
                        <m:t>(</m:t>
                      </m:r>
                      <m:f>
                        <m:fPr>
                          <m:ctrlPr>
                            <a:rPr lang="es-CO" sz="800" b="1" i="1">
                              <a:solidFill>
                                <a:schemeClr val="tx1"/>
                              </a:solidFill>
                              <a:effectLst/>
                              <a:latin typeface="Cambria Math" panose="02040503050406030204" pitchFamily="18" charset="0"/>
                              <a:ea typeface="+mn-ea"/>
                              <a:cs typeface="+mn-cs"/>
                            </a:rPr>
                          </m:ctrlPr>
                        </m:fPr>
                        <m:num>
                          <m:sSub>
                            <m:sSubPr>
                              <m:ctrlPr>
                                <a:rPr lang="es-CO" sz="800" b="1" i="1">
                                  <a:solidFill>
                                    <a:schemeClr val="tx1"/>
                                  </a:solidFill>
                                  <a:effectLst/>
                                  <a:latin typeface="Cambria Math" panose="02040503050406030204" pitchFamily="18" charset="0"/>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𝑴𝒂𝒙</m:t>
                              </m:r>
                            </m:sub>
                          </m:sSub>
                          <m:r>
                            <a:rPr lang="es-CO" sz="800" b="1" i="1">
                              <a:solidFill>
                                <a:schemeClr val="tx1"/>
                              </a:solidFill>
                              <a:effectLst/>
                              <a:latin typeface="Cambria Math" panose="02040503050406030204" pitchFamily="18" charset="0"/>
                              <a:ea typeface="+mn-ea"/>
                              <a:cs typeface="+mn-cs"/>
                            </a:rPr>
                            <m:t> − </m:t>
                          </m:r>
                          <m:sSub>
                            <m:sSubPr>
                              <m:ctrlPr>
                                <a:rPr lang="es-CO" sz="800" b="1" i="1">
                                  <a:solidFill>
                                    <a:schemeClr val="tx1"/>
                                  </a:solidFill>
                                  <a:effectLst/>
                                  <a:latin typeface="Cambria Math" panose="02040503050406030204" pitchFamily="18" charset="0"/>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𝑴𝒊𝒏</m:t>
                              </m:r>
                            </m:sub>
                          </m:sSub>
                        </m:num>
                        <m:den>
                          <m:rad>
                            <m:radPr>
                              <m:degHide m:val="on"/>
                              <m:ctrlPr>
                                <a:rPr lang="es-CO" sz="800" b="1" i="1">
                                  <a:solidFill>
                                    <a:schemeClr val="tx1"/>
                                  </a:solidFill>
                                  <a:effectLst/>
                                  <a:latin typeface="Cambria Math" panose="02040503050406030204" pitchFamily="18" charset="0"/>
                                  <a:ea typeface="+mn-ea"/>
                                  <a:cs typeface="+mn-cs"/>
                                </a:rPr>
                              </m:ctrlPr>
                            </m:radPr>
                            <m:deg/>
                            <m:e>
                              <m:r>
                                <a:rPr lang="es-CO" sz="800" b="1" i="1">
                                  <a:solidFill>
                                    <a:schemeClr val="tx1"/>
                                  </a:solidFill>
                                  <a:effectLst/>
                                  <a:latin typeface="Cambria Math" panose="02040503050406030204" pitchFamily="18" charset="0"/>
                                  <a:ea typeface="+mn-ea"/>
                                  <a:cs typeface="+mn-cs"/>
                                </a:rPr>
                                <m:t>𝟏𝟐</m:t>
                              </m:r>
                            </m:e>
                          </m:rad>
                        </m:den>
                      </m:f>
                      <m:r>
                        <m:rPr>
                          <m:nor/>
                        </m:rPr>
                        <a:rPr lang="es-CO" sz="800" b="1">
                          <a:solidFill>
                            <a:schemeClr val="tx1"/>
                          </a:solidFill>
                          <a:effectLst/>
                          <a:latin typeface="+mn-lt"/>
                          <a:ea typeface="+mn-ea"/>
                          <a:cs typeface="+mn-cs"/>
                        </a:rPr>
                        <m:t>)</m:t>
                      </m:r>
                      <m:r>
                        <m:rPr>
                          <m:nor/>
                        </m:rPr>
                        <a:rPr lang="es-CO" sz="800" b="1">
                          <a:effectLst/>
                        </a:rPr>
                        <m:t> </m:t>
                      </m:r>
                    </m:e>
                    <m:sup>
                      <m:r>
                        <a:rPr lang="es-CO" sz="800" b="1" i="1">
                          <a:latin typeface="Cambria Math" panose="02040503050406030204" pitchFamily="18" charset="0"/>
                        </a:rPr>
                        <m:t>𝟐</m:t>
                      </m:r>
                    </m:sup>
                  </m:sSup>
                </m:oMath>
              </a14:m>
              <a:endParaRPr lang="es-CO" sz="800" b="1"/>
            </a:p>
          </xdr:txBody>
        </xdr:sp>
      </mc:Choice>
      <mc:Fallback xmlns="">
        <xdr:sp macro="" textlink="">
          <xdr:nvSpPr>
            <xdr:cNvPr id="44" name="CuadroTexto 43"/>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800" b="1" i="0">
                  <a:latin typeface="Cambria Math" panose="02040503050406030204" pitchFamily="18" charset="0"/>
                </a:rPr>
                <a:t>〖</a:t>
              </a:r>
              <a:r>
                <a:rPr lang="es-CO" sz="800" b="1" i="0">
                  <a:solidFill>
                    <a:schemeClr val="tx1"/>
                  </a:solidFill>
                  <a:effectLst/>
                  <a:latin typeface="+mn-lt"/>
                  <a:ea typeface="+mn-ea"/>
                  <a:cs typeface="+mn-cs"/>
                </a:rPr>
                <a:t>"(</a:t>
              </a:r>
              <a:r>
                <a:rPr lang="es-CO" sz="800" b="1" i="0">
                  <a:solidFill>
                    <a:schemeClr val="tx1"/>
                  </a:solidFill>
                  <a:effectLst/>
                  <a:latin typeface="Cambria Math" panose="02040503050406030204" pitchFamily="18" charset="0"/>
                  <a:ea typeface="+mn-ea"/>
                  <a:cs typeface="+mn-cs"/>
                </a:rPr>
                <a:t>"  (𝑬_𝑴𝒂𝒙  − 𝑬_𝑴𝒊𝒏)/√𝟏𝟐</a:t>
              </a:r>
              <a:r>
                <a:rPr lang="es-CO" sz="800" b="1" i="0">
                  <a:solidFill>
                    <a:schemeClr val="tx1"/>
                  </a:solidFill>
                  <a:effectLst/>
                  <a:latin typeface="+mn-lt"/>
                  <a:ea typeface="+mn-ea"/>
                  <a:cs typeface="+mn-cs"/>
                </a:rPr>
                <a:t> ")</a:t>
              </a:r>
              <a:r>
                <a:rPr lang="es-CO" sz="800" b="1" i="0">
                  <a:effectLst/>
                </a:rPr>
                <a:t> </a:t>
              </a:r>
              <a:r>
                <a:rPr lang="es-CO" sz="800" b="1" i="0">
                  <a:effectLst/>
                  <a:latin typeface="Cambria Math" panose="02040503050406030204" pitchFamily="18" charset="0"/>
                </a:rPr>
                <a:t>" 〗^</a:t>
              </a:r>
              <a:r>
                <a:rPr lang="es-CO" sz="800" b="1" i="0">
                  <a:latin typeface="Cambria Math" panose="02040503050406030204" pitchFamily="18" charset="0"/>
                </a:rPr>
                <a:t>𝟐</a:t>
              </a:r>
              <a:endParaRPr lang="es-CO" sz="800" b="1"/>
            </a:p>
          </xdr:txBody>
        </xdr:sp>
      </mc:Fallback>
    </mc:AlternateContent>
    <xdr:clientData/>
  </xdr:oneCellAnchor>
  <xdr:oneCellAnchor>
    <xdr:from>
      <xdr:col>2</xdr:col>
      <xdr:colOff>404197</xdr:colOff>
      <xdr:row>43</xdr:row>
      <xdr:rowOff>231322</xdr:rowOff>
    </xdr:from>
    <xdr:ext cx="575517" cy="172227"/>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id="{00000000-0008-0000-0500-00002D000000}"/>
                </a:ext>
              </a:extLst>
            </xdr:cNvPr>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14:m>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𝑽</m:t>
                      </m:r>
                    </m:e>
                    <m:sub>
                      <m:r>
                        <a:rPr lang="es-CO" sz="1100" b="1" i="1">
                          <a:latin typeface="Cambria Math" panose="02040503050406030204" pitchFamily="18" charset="0"/>
                        </a:rPr>
                        <m:t>𝒎𝒊𝒏</m:t>
                      </m:r>
                    </m:sub>
                  </m:sSub>
                </m:oMath>
              </a14:m>
              <a:r>
                <a:rPr lang="es-CO" sz="1100" b="1"/>
                <a:t>)</a:t>
              </a:r>
            </a:p>
          </xdr:txBody>
        </xdr:sp>
      </mc:Choice>
      <mc:Fallback xmlns="">
        <xdr:sp macro="" textlink="">
          <xdr:nvSpPr>
            <xdr:cNvPr id="45" name="CuadroTexto 44"/>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r>
                <a:rPr lang="es-CO" sz="1100" b="1" i="0">
                  <a:latin typeface="Cambria Math" panose="02040503050406030204" pitchFamily="18" charset="0"/>
                </a:rPr>
                <a:t>𝑽_𝒎𝒊𝒏</a:t>
              </a:r>
              <a:r>
                <a:rPr lang="es-CO" sz="1100" b="1"/>
                <a:t>)</a:t>
              </a:r>
            </a:p>
          </xdr:txBody>
        </xdr:sp>
      </mc:Fallback>
    </mc:AlternateContent>
    <xdr:clientData/>
  </xdr:oneCellAnchor>
  <xdr:oneCellAnchor>
    <xdr:from>
      <xdr:col>20</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47" name="CuadroTexto 46">
              <a:extLst>
                <a:ext uri="{FF2B5EF4-FFF2-40B4-BE49-F238E27FC236}">
                  <a16:creationId xmlns:a16="http://schemas.microsoft.com/office/drawing/2014/main" id="{00000000-0008-0000-0500-00002F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47" name="CuadroTexto 46"/>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xdr:col>
      <xdr:colOff>316673</xdr:colOff>
      <xdr:row>42</xdr:row>
      <xdr:rowOff>217716</xdr:rowOff>
    </xdr:from>
    <xdr:ext cx="622220" cy="17222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0500-000030000000}"/>
                </a:ext>
              </a:extLst>
            </xdr:cNvPr>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14:m>
                <m:oMath xmlns:m="http://schemas.openxmlformats.org/officeDocument/2006/math">
                  <m:d>
                    <m:dPr>
                      <m:ctrlPr>
                        <a:rPr lang="es-CO" sz="1100" b="1" i="1">
                          <a:solidFill>
                            <a:sysClr val="windowText" lastClr="000000"/>
                          </a:solidFill>
                          <a:effectLst/>
                          <a:latin typeface="Cambria Math" panose="02040503050406030204" pitchFamily="18" charset="0"/>
                          <a:ea typeface="+mn-ea"/>
                          <a:cs typeface="+mn-cs"/>
                        </a:rPr>
                      </m:ctrlPr>
                    </m:dPr>
                    <m:e>
                      <m:sSub>
                        <m:sSubPr>
                          <m:ctrlPr>
                            <a:rPr lang="es-CO" sz="1100" b="1" i="1">
                              <a:solidFill>
                                <a:sysClr val="windowText" lastClr="000000"/>
                              </a:solidFill>
                              <a:effectLst/>
                              <a:latin typeface="Cambria Math" panose="02040503050406030204" pitchFamily="18" charset="0"/>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𝒎𝒂𝒙</m:t>
                          </m:r>
                        </m:sub>
                      </m:sSub>
                    </m:e>
                  </m:d>
                </m:oMath>
              </a14:m>
              <a:endParaRPr lang="es-CO" sz="1100" b="1">
                <a:solidFill>
                  <a:sysClr val="windowText" lastClr="000000"/>
                </a:solidFill>
              </a:endParaRPr>
            </a:p>
          </xdr:txBody>
        </xdr:sp>
      </mc:Choice>
      <mc:Fallback xmlns="">
        <xdr:sp macro="" textlink="">
          <xdr:nvSpPr>
            <xdr:cNvPr id="48" name="CuadroTexto 47"/>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r>
                <a:rPr lang="es-CO" sz="1100" b="1" i="0">
                  <a:solidFill>
                    <a:sysClr val="windowText" lastClr="000000"/>
                  </a:solidFill>
                  <a:effectLst/>
                  <a:latin typeface="Cambria Math" panose="02040503050406030204" pitchFamily="18" charset="0"/>
                  <a:ea typeface="+mn-ea"/>
                  <a:cs typeface="+mn-cs"/>
                </a:rPr>
                <a:t>(𝑽_𝒎𝒂𝒙 )</a:t>
              </a:r>
              <a:endParaRPr lang="es-CO" sz="1100" b="1">
                <a:solidFill>
                  <a:sysClr val="windowText" lastClr="000000"/>
                </a:solidFill>
              </a:endParaRPr>
            </a:p>
          </xdr:txBody>
        </xdr:sp>
      </mc:Fallback>
    </mc:AlternateContent>
    <xdr:clientData/>
  </xdr:oneCellAnchor>
  <xdr:oneCellAnchor>
    <xdr:from>
      <xdr:col>17</xdr:col>
      <xdr:colOff>342141</xdr:colOff>
      <xdr:row>9</xdr:row>
      <xdr:rowOff>163285</xdr:rowOff>
    </xdr:from>
    <xdr:ext cx="392645" cy="172227"/>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500-000031000000}"/>
                </a:ext>
              </a:extLst>
            </xdr:cNvPr>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𝑽</m:t>
                        </m:r>
                      </m:e>
                      <m:sub>
                        <m:r>
                          <a:rPr lang="es-CO" sz="1100" b="1" i="1">
                            <a:solidFill>
                              <a:schemeClr val="tx1"/>
                            </a:solidFill>
                            <a:effectLst/>
                            <a:latin typeface="Cambria Math" panose="02040503050406030204" pitchFamily="18" charset="0"/>
                            <a:ea typeface="+mn-ea"/>
                            <a:cs typeface="+mn-cs"/>
                          </a:rPr>
                          <m:t>𝑴𝒂𝒙</m:t>
                        </m:r>
                      </m:sub>
                    </m:sSub>
                  </m:oMath>
                </m:oMathPara>
              </a14:m>
              <a:endParaRPr lang="es-CO" sz="1100"/>
            </a:p>
          </xdr:txBody>
        </xdr:sp>
      </mc:Choice>
      <mc:Fallback xmlns="">
        <xdr:sp macro="" textlink="">
          <xdr:nvSpPr>
            <xdr:cNvPr id="49" name="CuadroTexto 48"/>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tx1"/>
                  </a:solidFill>
                  <a:effectLst/>
                  <a:latin typeface="Cambria Math" panose="02040503050406030204" pitchFamily="18" charset="0"/>
                  <a:ea typeface="+mn-ea"/>
                  <a:cs typeface="+mn-cs"/>
                </a:rPr>
                <a:t>𝑽_𝑴𝒂𝒙</a:t>
              </a:r>
              <a:endParaRPr lang="es-CO" sz="1100"/>
            </a:p>
          </xdr:txBody>
        </xdr:sp>
      </mc:Fallback>
    </mc:AlternateContent>
    <xdr:clientData/>
  </xdr:oneCellAnchor>
  <xdr:oneCellAnchor>
    <xdr:from>
      <xdr:col>18</xdr:col>
      <xdr:colOff>199398</xdr:colOff>
      <xdr:row>9</xdr:row>
      <xdr:rowOff>174955</xdr:rowOff>
    </xdr:from>
    <xdr:ext cx="681319" cy="172227"/>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500-000032000000}"/>
                </a:ext>
              </a:extLst>
            </xdr:cNvPr>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ysClr val="windowText" lastClr="000000"/>
                            </a:solidFill>
                            <a:effectLst/>
                            <a:latin typeface="Cambria Math" panose="02040503050406030204" pitchFamily="18" charset="0"/>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𝑴𝒊𝒏</m:t>
                        </m:r>
                      </m:sub>
                    </m:sSub>
                  </m:oMath>
                </m:oMathPara>
              </a14:m>
              <a:endParaRPr lang="es-CO" sz="1100">
                <a:solidFill>
                  <a:sysClr val="windowText" lastClr="000000"/>
                </a:solidFill>
              </a:endParaRPr>
            </a:p>
          </xdr:txBody>
        </xdr:sp>
      </mc:Choice>
      <mc:Fallback xmlns="">
        <xdr:sp macro="" textlink="">
          <xdr:nvSpPr>
            <xdr:cNvPr id="50" name="CuadroTexto 49"/>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ysClr val="windowText" lastClr="000000"/>
                  </a:solidFill>
                  <a:effectLst/>
                  <a:latin typeface="Cambria Math" panose="02040503050406030204" pitchFamily="18" charset="0"/>
                  <a:ea typeface="+mn-ea"/>
                  <a:cs typeface="+mn-cs"/>
                </a:rPr>
                <a:t>𝑽_𝑴𝒊𝒏</a:t>
              </a:r>
              <a:endParaRPr lang="es-CO" sz="1100">
                <a:solidFill>
                  <a:sysClr val="windowText" lastClr="000000"/>
                </a:solidFill>
              </a:endParaRPr>
            </a:p>
          </xdr:txBody>
        </xdr:sp>
      </mc:Fallback>
    </mc:AlternateContent>
    <xdr:clientData/>
  </xdr:oneCellAnchor>
  <xdr:oneCellAnchor>
    <xdr:from>
      <xdr:col>16</xdr:col>
      <xdr:colOff>398346</xdr:colOff>
      <xdr:row>18</xdr:row>
      <xdr:rowOff>232833</xdr:rowOff>
    </xdr:from>
    <xdr:ext cx="2501487" cy="443583"/>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0500-000033000000}"/>
                </a:ext>
              </a:extLst>
            </xdr:cNvPr>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O" sz="1400" b="1" i="1">
                            <a:solidFill>
                              <a:schemeClr val="tx1"/>
                            </a:solidFill>
                            <a:effectLst/>
                            <a:latin typeface="Cambria Math" panose="02040503050406030204" pitchFamily="18" charset="0"/>
                            <a:ea typeface="+mn-ea"/>
                            <a:cs typeface="+mn-cs"/>
                          </a:rPr>
                        </m:ctrlPr>
                      </m:fPr>
                      <m:num>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𝑴𝒂𝒙</m:t>
                            </m:r>
                          </m:sub>
                        </m:sSub>
                        <m:r>
                          <a:rPr lang="es-CO" sz="1400" b="1" i="1">
                            <a:solidFill>
                              <a:schemeClr val="tx1"/>
                            </a:solidFill>
                            <a:effectLst/>
                            <a:latin typeface="Cambria Math" panose="02040503050406030204" pitchFamily="18" charset="0"/>
                            <a:ea typeface="+mn-ea"/>
                            <a:cs typeface="+mn-cs"/>
                          </a:rPr>
                          <m:t> − </m:t>
                        </m:r>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𝑴𝒊𝒏</m:t>
                            </m:r>
                          </m:sub>
                        </m:sSub>
                      </m:num>
                      <m:den>
                        <m:rad>
                          <m:radPr>
                            <m:degHide m:val="on"/>
                            <m:ctrlPr>
                              <a:rPr lang="es-CO" sz="1400" b="1" i="1">
                                <a:solidFill>
                                  <a:schemeClr val="tx1"/>
                                </a:solidFill>
                                <a:effectLst/>
                                <a:latin typeface="Cambria Math" panose="02040503050406030204" pitchFamily="18" charset="0"/>
                                <a:ea typeface="+mn-ea"/>
                                <a:cs typeface="+mn-cs"/>
                              </a:rPr>
                            </m:ctrlPr>
                          </m:radPr>
                          <m:deg/>
                          <m:e>
                            <m:r>
                              <a:rPr lang="es-CO" sz="1400" b="1" i="1">
                                <a:solidFill>
                                  <a:schemeClr val="tx1"/>
                                </a:solidFill>
                                <a:effectLst/>
                                <a:latin typeface="Cambria Math" panose="02040503050406030204" pitchFamily="18" charset="0"/>
                                <a:ea typeface="+mn-ea"/>
                                <a:cs typeface="+mn-cs"/>
                              </a:rPr>
                              <m:t>𝟏𝟐</m:t>
                            </m:r>
                          </m:e>
                        </m:rad>
                      </m:den>
                    </m:f>
                  </m:oMath>
                </m:oMathPara>
              </a14:m>
              <a:endParaRPr lang="es-CO" sz="14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51" name="CuadroTexto 50"/>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solidFill>
                    <a:schemeClr val="tx1"/>
                  </a:solidFill>
                  <a:effectLst/>
                  <a:latin typeface="Cambria Math" panose="02040503050406030204" pitchFamily="18" charset="0"/>
                  <a:ea typeface="+mn-ea"/>
                  <a:cs typeface="+mn-cs"/>
                </a:rPr>
                <a:t>(𝑬_𝑴𝒂𝒙  − 𝑬_𝑴𝒊𝒏)/√𝟏𝟐</a:t>
              </a:r>
              <a:endParaRPr lang="es-CO" sz="14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oneCellAnchor>
    <xdr:from>
      <xdr:col>2</xdr:col>
      <xdr:colOff>516714</xdr:colOff>
      <xdr:row>46</xdr:row>
      <xdr:rowOff>300465</xdr:rowOff>
    </xdr:from>
    <xdr:ext cx="413639" cy="172227"/>
    <mc:AlternateContent xmlns:mc="http://schemas.openxmlformats.org/markup-compatibility/2006" xmlns:a14="http://schemas.microsoft.com/office/drawing/2010/main">
      <mc:Choice Requires="a14">
        <xdr:sp macro="" textlink="">
          <xdr:nvSpPr>
            <xdr:cNvPr id="54" name="CuadroTexto 53">
              <a:extLst>
                <a:ext uri="{FF2B5EF4-FFF2-40B4-BE49-F238E27FC236}">
                  <a16:creationId xmlns:a16="http://schemas.microsoft.com/office/drawing/2014/main" id="{00000000-0008-0000-0500-000036000000}"/>
                </a:ext>
              </a:extLst>
            </xdr:cNvPr>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𝒎𝒊𝒏</m:t>
                        </m:r>
                      </m:sub>
                    </m:sSub>
                  </m:oMath>
                </m:oMathPara>
              </a14:m>
              <a:endParaRPr lang="es-CO" sz="1100" b="1"/>
            </a:p>
          </xdr:txBody>
        </xdr:sp>
      </mc:Choice>
      <mc:Fallback xmlns="">
        <xdr:sp macro="" textlink="">
          <xdr:nvSpPr>
            <xdr:cNvPr id="54" name="CuadroTexto 53"/>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𝒎𝒊𝒏</a:t>
              </a:r>
              <a:endParaRPr lang="es-CO" sz="1100" b="1"/>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57" name="CuadroTexto 56">
              <a:extLst>
                <a:ext uri="{FF2B5EF4-FFF2-40B4-BE49-F238E27FC236}">
                  <a16:creationId xmlns:a16="http://schemas.microsoft.com/office/drawing/2014/main" id="{00000000-0008-0000-0500-000039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57" name="CuadroTexto 56"/>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twoCellAnchor>
    <xdr:from>
      <xdr:col>12</xdr:col>
      <xdr:colOff>9525</xdr:colOff>
      <xdr:row>10</xdr:row>
      <xdr:rowOff>0</xdr:rowOff>
    </xdr:from>
    <xdr:to>
      <xdr:col>14</xdr:col>
      <xdr:colOff>1009650</xdr:colOff>
      <xdr:row>12</xdr:row>
      <xdr:rowOff>485775</xdr:rowOff>
    </xdr:to>
    <xdr:cxnSp macro="">
      <xdr:nvCxnSpPr>
        <xdr:cNvPr id="61" name="Conector recto de flecha 60">
          <a:extLst>
            <a:ext uri="{FF2B5EF4-FFF2-40B4-BE49-F238E27FC236}">
              <a16:creationId xmlns:a16="http://schemas.microsoft.com/office/drawing/2014/main" id="{00000000-0008-0000-0500-00003D000000}"/>
            </a:ext>
          </a:extLst>
        </xdr:cNvPr>
        <xdr:cNvCxnSpPr/>
      </xdr:nvCxnSpPr>
      <xdr:spPr>
        <a:xfrm flipV="1">
          <a:off x="12582525" y="5124450"/>
          <a:ext cx="3095625" cy="1514475"/>
        </a:xfrm>
        <a:prstGeom prst="straightConnector1">
          <a:avLst/>
        </a:prstGeom>
        <a:ln w="28575">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2</xdr:col>
      <xdr:colOff>408644</xdr:colOff>
      <xdr:row>61</xdr:row>
      <xdr:rowOff>0</xdr:rowOff>
    </xdr:from>
    <xdr:ext cx="65" cy="172227"/>
    <xdr:sp macro="" textlink="">
      <xdr:nvSpPr>
        <xdr:cNvPr id="39" name="CuadroTexto 38">
          <a:extLst>
            <a:ext uri="{FF2B5EF4-FFF2-40B4-BE49-F238E27FC236}">
              <a16:creationId xmlns:a16="http://schemas.microsoft.com/office/drawing/2014/main" id="{00000000-0008-0000-0500-000027000000}"/>
            </a:ext>
          </a:extLst>
        </xdr:cNvPr>
        <xdr:cNvSpPr txBox="1"/>
      </xdr:nvSpPr>
      <xdr:spPr>
        <a:xfrm>
          <a:off x="2504144" y="2765913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b="1"/>
        </a:p>
      </xdr:txBody>
    </xdr:sp>
    <xdr:clientData/>
  </xdr:oneCellAnchor>
  <xdr:twoCellAnchor editAs="oneCell">
    <xdr:from>
      <xdr:col>0</xdr:col>
      <xdr:colOff>190500</xdr:colOff>
      <xdr:row>0</xdr:row>
      <xdr:rowOff>142875</xdr:rowOff>
    </xdr:from>
    <xdr:to>
      <xdr:col>2</xdr:col>
      <xdr:colOff>801859</xdr:colOff>
      <xdr:row>0</xdr:row>
      <xdr:rowOff>728142</xdr:rowOff>
    </xdr:to>
    <xdr:pic>
      <xdr:nvPicPr>
        <xdr:cNvPr id="11" name="10 Imagen">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1"/>
        <a:stretch>
          <a:fillRect/>
        </a:stretch>
      </xdr:blipFill>
      <xdr:spPr>
        <a:xfrm>
          <a:off x="190500" y="142875"/>
          <a:ext cx="2706859" cy="5852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437418</xdr:colOff>
      <xdr:row>39</xdr:row>
      <xdr:rowOff>64834</xdr:rowOff>
    </xdr:from>
    <xdr:to>
      <xdr:col>8</xdr:col>
      <xdr:colOff>916993</xdr:colOff>
      <xdr:row>41</xdr:row>
      <xdr:rowOff>4395</xdr:rowOff>
    </xdr:to>
    <xdr:pic>
      <xdr:nvPicPr>
        <xdr:cNvPr id="2" name="Imagen 1">
          <a:extLst>
            <a:ext uri="{FF2B5EF4-FFF2-40B4-BE49-F238E27FC236}">
              <a16:creationId xmlns:a16="http://schemas.microsoft.com/office/drawing/2014/main" id="{00000000-0008-0000-0600-000002000000}"/>
            </a:ext>
          </a:extLst>
        </xdr:cNvPr>
        <xdr:cNvPicPr/>
      </xdr:nvPicPr>
      <xdr:blipFill rotWithShape="1">
        <a:blip xmlns:r="http://schemas.openxmlformats.org/officeDocument/2006/relationships" r:embed="rId1"/>
        <a:srcRect l="6907" t="24203" r="3198" b="66560"/>
        <a:stretch/>
      </xdr:blipFill>
      <xdr:spPr bwMode="auto">
        <a:xfrm>
          <a:off x="1580418" y="14876209"/>
          <a:ext cx="5108725" cy="396761"/>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46</xdr:row>
      <xdr:rowOff>104098</xdr:rowOff>
    </xdr:from>
    <xdr:to>
      <xdr:col>1</xdr:col>
      <xdr:colOff>274184</xdr:colOff>
      <xdr:row>47</xdr:row>
      <xdr:rowOff>154785</xdr:rowOff>
    </xdr:to>
    <xdr:pic>
      <xdr:nvPicPr>
        <xdr:cNvPr id="3" name="Imagen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436109" y="16649023"/>
          <a:ext cx="219075" cy="250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xdr:colOff>
      <xdr:row>48</xdr:row>
      <xdr:rowOff>176892</xdr:rowOff>
    </xdr:from>
    <xdr:ext cx="325755" cy="218795"/>
    <xdr:pic>
      <xdr:nvPicPr>
        <xdr:cNvPr id="4" name="Imagen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390525" y="17102817"/>
          <a:ext cx="325755" cy="218795"/>
        </a:xfrm>
        <a:prstGeom prst="rect">
          <a:avLst/>
        </a:prstGeom>
        <a:noFill/>
        <a:ln>
          <a:noFill/>
        </a:ln>
      </xdr:spPr>
    </xdr:pic>
    <xdr:clientData/>
  </xdr:oneCellAnchor>
  <xdr:oneCellAnchor>
    <xdr:from>
      <xdr:col>0</xdr:col>
      <xdr:colOff>421821</xdr:colOff>
      <xdr:row>50</xdr:row>
      <xdr:rowOff>134364</xdr:rowOff>
    </xdr:from>
    <xdr:ext cx="325755" cy="238124"/>
    <xdr:pic>
      <xdr:nvPicPr>
        <xdr:cNvPr id="5" name="Imagen 4">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383721" y="17555589"/>
          <a:ext cx="325755" cy="238124"/>
        </a:xfrm>
        <a:prstGeom prst="rect">
          <a:avLst/>
        </a:prstGeom>
        <a:noFill/>
        <a:ln>
          <a:noFill/>
        </a:ln>
      </xdr:spPr>
    </xdr:pic>
    <xdr:clientData/>
  </xdr:oneCellAnchor>
  <xdr:oneCellAnchor>
    <xdr:from>
      <xdr:col>1</xdr:col>
      <xdr:colOff>19049</xdr:colOff>
      <xdr:row>52</xdr:row>
      <xdr:rowOff>183696</xdr:rowOff>
    </xdr:from>
    <xdr:ext cx="314325" cy="262468"/>
    <xdr:pic>
      <xdr:nvPicPr>
        <xdr:cNvPr id="6" name="Imagen 5">
          <a:extLst>
            <a:ext uri="{FF2B5EF4-FFF2-40B4-BE49-F238E27FC236}">
              <a16:creationId xmlns:a16="http://schemas.microsoft.com/office/drawing/2014/main" id="{00000000-0008-0000-0600-000006000000}"/>
            </a:ext>
          </a:extLst>
        </xdr:cNvPr>
        <xdr:cNvPicPr/>
      </xdr:nvPicPr>
      <xdr:blipFill rotWithShape="1">
        <a:blip xmlns:r="http://schemas.openxmlformats.org/officeDocument/2006/relationships" r:embed="rId1"/>
        <a:srcRect l="30917" t="27092" r="66112" b="66954"/>
        <a:stretch/>
      </xdr:blipFill>
      <xdr:spPr bwMode="auto">
        <a:xfrm>
          <a:off x="400049" y="18062121"/>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55</xdr:row>
      <xdr:rowOff>0</xdr:rowOff>
    </xdr:from>
    <xdr:to>
      <xdr:col>1</xdr:col>
      <xdr:colOff>304800</xdr:colOff>
      <xdr:row>56</xdr:row>
      <xdr:rowOff>9525</xdr:rowOff>
    </xdr:to>
    <xdr:pic>
      <xdr:nvPicPr>
        <xdr:cNvPr id="7" name="Imagen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381000" y="18535650"/>
          <a:ext cx="304800"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400051</xdr:colOff>
      <xdr:row>56</xdr:row>
      <xdr:rowOff>123825</xdr:rowOff>
    </xdr:from>
    <xdr:ext cx="409574" cy="322791"/>
    <xdr:pic>
      <xdr:nvPicPr>
        <xdr:cNvPr id="8" name="Imagen 7">
          <a:extLst>
            <a:ext uri="{FF2B5EF4-FFF2-40B4-BE49-F238E27FC236}">
              <a16:creationId xmlns:a16="http://schemas.microsoft.com/office/drawing/2014/main" id="{00000000-0008-0000-06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381001" y="18973800"/>
          <a:ext cx="409574" cy="322791"/>
        </a:xfrm>
        <a:prstGeom prst="rect">
          <a:avLst/>
        </a:prstGeom>
        <a:noFill/>
        <a:ln>
          <a:noFill/>
        </a:ln>
      </xdr:spPr>
    </xdr:pic>
    <xdr:clientData/>
  </xdr:oneCellAnchor>
  <xdr:oneCellAnchor>
    <xdr:from>
      <xdr:col>1</xdr:col>
      <xdr:colOff>28576</xdr:colOff>
      <xdr:row>59</xdr:row>
      <xdr:rowOff>9525</xdr:rowOff>
    </xdr:from>
    <xdr:ext cx="353060" cy="195792"/>
    <xdr:pic>
      <xdr:nvPicPr>
        <xdr:cNvPr id="9" name="Imagen 8">
          <a:extLst>
            <a:ext uri="{FF2B5EF4-FFF2-40B4-BE49-F238E27FC236}">
              <a16:creationId xmlns:a16="http://schemas.microsoft.com/office/drawing/2014/main" id="{00000000-0008-0000-06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409576" y="19497675"/>
          <a:ext cx="353060" cy="195792"/>
        </a:xfrm>
        <a:prstGeom prst="rect">
          <a:avLst/>
        </a:prstGeom>
        <a:noFill/>
        <a:ln>
          <a:noFill/>
        </a:ln>
      </xdr:spPr>
    </xdr:pic>
    <xdr:clientData/>
  </xdr:oneCellAnchor>
  <xdr:oneCellAnchor>
    <xdr:from>
      <xdr:col>1</xdr:col>
      <xdr:colOff>66676</xdr:colOff>
      <xdr:row>60</xdr:row>
      <xdr:rowOff>200025</xdr:rowOff>
    </xdr:from>
    <xdr:ext cx="171450" cy="190499"/>
    <xdr:pic>
      <xdr:nvPicPr>
        <xdr:cNvPr id="10" name="Imagen 9">
          <a:extLst>
            <a:ext uri="{FF2B5EF4-FFF2-40B4-BE49-F238E27FC236}">
              <a16:creationId xmlns:a16="http://schemas.microsoft.com/office/drawing/2014/main" id="{00000000-0008-0000-06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447676" y="19964400"/>
          <a:ext cx="171450" cy="190499"/>
        </a:xfrm>
        <a:prstGeom prst="rect">
          <a:avLst/>
        </a:prstGeom>
        <a:noFill/>
        <a:ln>
          <a:noFill/>
        </a:ln>
      </xdr:spPr>
    </xdr:pic>
    <xdr:clientData/>
  </xdr:oneCellAnchor>
  <xdr:oneCellAnchor>
    <xdr:from>
      <xdr:col>1</xdr:col>
      <xdr:colOff>1362</xdr:colOff>
      <xdr:row>44</xdr:row>
      <xdr:rowOff>40826</xdr:rowOff>
    </xdr:from>
    <xdr:ext cx="304800" cy="244474"/>
    <xdr:pic>
      <xdr:nvPicPr>
        <xdr:cNvPr id="11" name="Imagen 10">
          <a:extLst>
            <a:ext uri="{FF2B5EF4-FFF2-40B4-BE49-F238E27FC236}">
              <a16:creationId xmlns:a16="http://schemas.microsoft.com/office/drawing/2014/main" id="{00000000-0008-0000-0600-00000B000000}"/>
            </a:ext>
          </a:extLst>
        </xdr:cNvPr>
        <xdr:cNvPicPr/>
      </xdr:nvPicPr>
      <xdr:blipFill rotWithShape="1">
        <a:blip xmlns:r="http://schemas.openxmlformats.org/officeDocument/2006/relationships" r:embed="rId1"/>
        <a:srcRect l="6276" t="26472" r="90088" b="67694"/>
        <a:stretch/>
      </xdr:blipFill>
      <xdr:spPr bwMode="auto">
        <a:xfrm>
          <a:off x="382362" y="16109501"/>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371475</xdr:colOff>
      <xdr:row>67</xdr:row>
      <xdr:rowOff>19050</xdr:rowOff>
    </xdr:from>
    <xdr:ext cx="349884" cy="350168"/>
    <xdr:pic>
      <xdr:nvPicPr>
        <xdr:cNvPr id="12" name="Imagen 11">
          <a:extLst>
            <a:ext uri="{FF2B5EF4-FFF2-40B4-BE49-F238E27FC236}">
              <a16:creationId xmlns:a16="http://schemas.microsoft.com/office/drawing/2014/main" id="{00000000-0008-0000-0600-00000C000000}"/>
            </a:ext>
          </a:extLst>
        </xdr:cNvPr>
        <xdr:cNvPicPr/>
      </xdr:nvPicPr>
      <xdr:blipFill rotWithShape="1">
        <a:blip xmlns:r="http://schemas.openxmlformats.org/officeDocument/2006/relationships" r:embed="rId1"/>
        <a:srcRect l="90522" t="25661" r="3198" b="67370"/>
        <a:stretch/>
      </xdr:blipFill>
      <xdr:spPr bwMode="auto">
        <a:xfrm>
          <a:off x="371475" y="21412200"/>
          <a:ext cx="349884" cy="3501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62</xdr:row>
      <xdr:rowOff>142874</xdr:rowOff>
    </xdr:from>
    <xdr:ext cx="390525" cy="322793"/>
    <xdr:pic>
      <xdr:nvPicPr>
        <xdr:cNvPr id="13" name="Imagen 12">
          <a:extLst>
            <a:ext uri="{FF2B5EF4-FFF2-40B4-BE49-F238E27FC236}">
              <a16:creationId xmlns:a16="http://schemas.microsoft.com/office/drawing/2014/main" id="{00000000-0008-0000-0600-00000D000000}"/>
            </a:ext>
          </a:extLst>
        </xdr:cNvPr>
        <xdr:cNvPicPr/>
      </xdr:nvPicPr>
      <xdr:blipFill rotWithShape="1">
        <a:blip xmlns:r="http://schemas.openxmlformats.org/officeDocument/2006/relationships" r:embed="rId1"/>
        <a:srcRect l="73767" t="26471" r="19752" b="66560"/>
        <a:stretch/>
      </xdr:blipFill>
      <xdr:spPr bwMode="auto">
        <a:xfrm>
          <a:off x="390525" y="20421599"/>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4081</xdr:colOff>
      <xdr:row>64</xdr:row>
      <xdr:rowOff>145596</xdr:rowOff>
    </xdr:from>
    <xdr:ext cx="329294" cy="283029"/>
    <xdr:pic>
      <xdr:nvPicPr>
        <xdr:cNvPr id="14" name="Imagen 13">
          <a:extLst>
            <a:ext uri="{FF2B5EF4-FFF2-40B4-BE49-F238E27FC236}">
              <a16:creationId xmlns:a16="http://schemas.microsoft.com/office/drawing/2014/main" id="{00000000-0008-0000-0600-00000E000000}"/>
            </a:ext>
          </a:extLst>
        </xdr:cNvPr>
        <xdr:cNvPicPr/>
      </xdr:nvPicPr>
      <xdr:blipFill rotWithShape="1">
        <a:blip xmlns:r="http://schemas.openxmlformats.org/officeDocument/2006/relationships" r:embed="rId1"/>
        <a:srcRect l="82144" t="25661" r="11217" b="67371"/>
        <a:stretch/>
      </xdr:blipFill>
      <xdr:spPr bwMode="auto">
        <a:xfrm>
          <a:off x="385081" y="20900571"/>
          <a:ext cx="329294" cy="28302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285201</xdr:colOff>
      <xdr:row>114</xdr:row>
      <xdr:rowOff>64130</xdr:rowOff>
    </xdr:from>
    <xdr:ext cx="3361512" cy="27604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600-00000F000000}"/>
                </a:ext>
              </a:extLst>
            </xdr:cNvPr>
            <xdr:cNvSpPr txBox="1"/>
          </xdr:nvSpPr>
          <xdr:spPr>
            <a:xfrm>
              <a:off x="1952076" y="36582980"/>
              <a:ext cx="3361512" cy="276047"/>
            </a:xfrm>
            <a:prstGeom prst="rect">
              <a:avLst/>
            </a:prstGeom>
            <a:solidFill>
              <a:sysClr val="window" lastClr="FFFFFF"/>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200" b="0" i="1">
                        <a:solidFill>
                          <a:sysClr val="windowText" lastClr="000000"/>
                        </a:solidFill>
                        <a:latin typeface="Cambria Math" panose="02040503050406030204" pitchFamily="18" charset="0"/>
                        <a:ea typeface="Cambria Math" panose="02040503050406030204" pitchFamily="18" charset="0"/>
                      </a:rPr>
                      <m:t>𝑅𝑒𝑔𝑙𝑎</m:t>
                    </m:r>
                    <m:r>
                      <a:rPr lang="es-CO" sz="1200" b="0" i="1">
                        <a:solidFill>
                          <a:sysClr val="windowText" lastClr="000000"/>
                        </a:solidFill>
                        <a:latin typeface="Cambria Math" panose="02040503050406030204" pitchFamily="18" charset="0"/>
                        <a:ea typeface="Cambria Math" panose="02040503050406030204" pitchFamily="18" charset="0"/>
                      </a:rPr>
                      <m:t> </m:t>
                    </m:r>
                    <m:r>
                      <a:rPr lang="es-CO" sz="1200" b="0" i="1">
                        <a:solidFill>
                          <a:sysClr val="windowText" lastClr="000000"/>
                        </a:solidFill>
                        <a:latin typeface="Cambria Math" panose="02040503050406030204" pitchFamily="18" charset="0"/>
                        <a:ea typeface="Cambria Math" panose="02040503050406030204" pitchFamily="18" charset="0"/>
                      </a:rPr>
                      <m:t>𝑑𝑒</m:t>
                    </m:r>
                    <m:r>
                      <a:rPr lang="es-CO" sz="1200" b="0" i="1">
                        <a:solidFill>
                          <a:sysClr val="windowText" lastClr="000000"/>
                        </a:solidFill>
                        <a:latin typeface="Cambria Math" panose="02040503050406030204" pitchFamily="18" charset="0"/>
                        <a:ea typeface="Cambria Math" panose="02040503050406030204" pitchFamily="18" charset="0"/>
                      </a:rPr>
                      <m:t> </m:t>
                    </m:r>
                    <m:r>
                      <a:rPr lang="es-CO" sz="1200" b="0" i="1">
                        <a:solidFill>
                          <a:sysClr val="windowText" lastClr="000000"/>
                        </a:solidFill>
                        <a:latin typeface="Cambria Math" panose="02040503050406030204" pitchFamily="18" charset="0"/>
                        <a:ea typeface="Cambria Math" panose="02040503050406030204" pitchFamily="18" charset="0"/>
                      </a:rPr>
                      <m:t>𝑑𝑒𝑐𝑖𝑠𝑖</m:t>
                    </m:r>
                    <m:r>
                      <a:rPr lang="es-CO" sz="1200" b="0" i="1">
                        <a:solidFill>
                          <a:sysClr val="windowText" lastClr="000000"/>
                        </a:solidFill>
                        <a:latin typeface="Cambria Math" panose="02040503050406030204" pitchFamily="18" charset="0"/>
                        <a:ea typeface="Cambria Math" panose="02040503050406030204" pitchFamily="18" charset="0"/>
                      </a:rPr>
                      <m:t>ó</m:t>
                    </m:r>
                    <m:r>
                      <a:rPr lang="es-CO" sz="1200" b="0" i="1">
                        <a:solidFill>
                          <a:sysClr val="windowText" lastClr="000000"/>
                        </a:solidFill>
                        <a:latin typeface="Cambria Math" panose="02040503050406030204" pitchFamily="18" charset="0"/>
                        <a:ea typeface="Cambria Math" panose="02040503050406030204" pitchFamily="18" charset="0"/>
                      </a:rPr>
                      <m:t>𝑛</m:t>
                    </m:r>
                    <m:r>
                      <a:rPr lang="es-CO" sz="1200" b="0" i="1">
                        <a:solidFill>
                          <a:sysClr val="windowText" lastClr="000000"/>
                        </a:solidFill>
                        <a:latin typeface="Cambria Math" panose="02040503050406030204" pitchFamily="18" charset="0"/>
                        <a:ea typeface="Cambria Math" panose="02040503050406030204" pitchFamily="18" charset="0"/>
                      </a:rPr>
                      <m:t>=|</m:t>
                    </m:r>
                    <m:r>
                      <m:rPr>
                        <m:sty m:val="p"/>
                      </m:rPr>
                      <a:rPr lang="es-CO" sz="1200" b="0" i="0">
                        <a:solidFill>
                          <a:sysClr val="windowText" lastClr="000000"/>
                        </a:solidFill>
                        <a:latin typeface="Cambria Math" panose="02040503050406030204" pitchFamily="18" charset="0"/>
                        <a:ea typeface="Cambria Math" panose="02040503050406030204" pitchFamily="18" charset="0"/>
                      </a:rPr>
                      <m:t>E</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𝑈</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𝐸𝑀𝑃</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𝐶𝑈𝑀𝑃𝐿𝐸</m:t>
                    </m:r>
                  </m:oMath>
                </m:oMathPara>
              </a14:m>
              <a:endParaRPr lang="es-CO" sz="1200">
                <a:solidFill>
                  <a:sysClr val="windowText" lastClr="000000"/>
                </a:solidFill>
                <a:latin typeface="Arial" panose="020B0604020202020204" pitchFamily="34" charset="0"/>
                <a:cs typeface="Arial" panose="020B0604020202020204" pitchFamily="34" charset="0"/>
              </a:endParaRPr>
            </a:p>
          </xdr:txBody>
        </xdr:sp>
      </mc:Choice>
      <mc:Fallback xmlns="">
        <xdr:sp macro="" textlink="">
          <xdr:nvSpPr>
            <xdr:cNvPr id="15" name="CuadroTexto 14">
              <a:extLst>
                <a:ext uri="{FF2B5EF4-FFF2-40B4-BE49-F238E27FC236}">
                  <a16:creationId xmlns:a16="http://schemas.microsoft.com/office/drawing/2014/main" xmlns:a14="http://schemas.microsoft.com/office/drawing/2010/main" xmlns="" id="{00000000-0008-0000-0600-00000F000000}"/>
                </a:ext>
              </a:extLst>
            </xdr:cNvPr>
            <xdr:cNvSpPr txBox="1"/>
          </xdr:nvSpPr>
          <xdr:spPr>
            <a:xfrm>
              <a:off x="1952076" y="36582980"/>
              <a:ext cx="3361512" cy="276047"/>
            </a:xfrm>
            <a:prstGeom prst="rect">
              <a:avLst/>
            </a:prstGeom>
            <a:solidFill>
              <a:sysClr val="window" lastClr="FFFFFF"/>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r>
                <a:rPr lang="es-CO" sz="1200" b="0" i="0">
                  <a:solidFill>
                    <a:sysClr val="windowText" lastClr="000000"/>
                  </a:solidFill>
                  <a:latin typeface="Cambria Math" panose="02040503050406030204" pitchFamily="18" charset="0"/>
                  <a:ea typeface="Cambria Math" panose="02040503050406030204" pitchFamily="18" charset="0"/>
                </a:rPr>
                <a:t>𝑅𝑒𝑔𝑙𝑎 𝑑𝑒 𝑑𝑒𝑐𝑖𝑠𝑖ó𝑛=|E|+𝑈≤𝐸𝑀𝑃=𝐶𝑈𝑀𝑃𝐿𝐸</a:t>
              </a:r>
              <a:endParaRPr lang="es-CO" sz="1200">
                <a:solidFill>
                  <a:sysClr val="windowText" lastClr="000000"/>
                </a:solidFill>
                <a:latin typeface="Arial" panose="020B0604020202020204" pitchFamily="34" charset="0"/>
                <a:cs typeface="Arial" panose="020B0604020202020204" pitchFamily="34" charset="0"/>
              </a:endParaRPr>
            </a:p>
          </xdr:txBody>
        </xdr:sp>
      </mc:Fallback>
    </mc:AlternateContent>
    <xdr:clientData/>
  </xdr:oneCellAnchor>
</xdr:wsDr>
</file>

<file path=xl/drawings/drawing8.xml><?xml version="1.0" encoding="utf-8"?>
<xdr:wsDr xmlns:xdr="http://schemas.openxmlformats.org/drawingml/2006/spreadsheetDrawing" xmlns:a="http://schemas.openxmlformats.org/drawingml/2006/main">
  <xdr:twoCellAnchor editAs="oneCell">
    <xdr:from>
      <xdr:col>2</xdr:col>
      <xdr:colOff>437418</xdr:colOff>
      <xdr:row>39</xdr:row>
      <xdr:rowOff>64834</xdr:rowOff>
    </xdr:from>
    <xdr:to>
      <xdr:col>8</xdr:col>
      <xdr:colOff>916993</xdr:colOff>
      <xdr:row>41</xdr:row>
      <xdr:rowOff>4395</xdr:rowOff>
    </xdr:to>
    <xdr:pic>
      <xdr:nvPicPr>
        <xdr:cNvPr id="2" name="Imagen 1">
          <a:extLst>
            <a:ext uri="{FF2B5EF4-FFF2-40B4-BE49-F238E27FC236}">
              <a16:creationId xmlns:a16="http://schemas.microsoft.com/office/drawing/2014/main" id="{00000000-0008-0000-0700-000002000000}"/>
            </a:ext>
          </a:extLst>
        </xdr:cNvPr>
        <xdr:cNvPicPr/>
      </xdr:nvPicPr>
      <xdr:blipFill rotWithShape="1">
        <a:blip xmlns:r="http://schemas.openxmlformats.org/officeDocument/2006/relationships" r:embed="rId1"/>
        <a:srcRect l="6907" t="24203" r="3198" b="66560"/>
        <a:stretch/>
      </xdr:blipFill>
      <xdr:spPr bwMode="auto">
        <a:xfrm>
          <a:off x="1580418" y="14342809"/>
          <a:ext cx="5115868" cy="396761"/>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46</xdr:row>
      <xdr:rowOff>104098</xdr:rowOff>
    </xdr:from>
    <xdr:to>
      <xdr:col>1</xdr:col>
      <xdr:colOff>274184</xdr:colOff>
      <xdr:row>47</xdr:row>
      <xdr:rowOff>154785</xdr:rowOff>
    </xdr:to>
    <xdr:pic>
      <xdr:nvPicPr>
        <xdr:cNvPr id="3" name="Imagen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476930" y="9493027"/>
          <a:ext cx="219075" cy="2820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xdr:colOff>
      <xdr:row>48</xdr:row>
      <xdr:rowOff>176892</xdr:rowOff>
    </xdr:from>
    <xdr:ext cx="325755" cy="218795"/>
    <xdr:pic>
      <xdr:nvPicPr>
        <xdr:cNvPr id="4" name="Imagen 3">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431346" y="10028463"/>
          <a:ext cx="325755" cy="218795"/>
        </a:xfrm>
        <a:prstGeom prst="rect">
          <a:avLst/>
        </a:prstGeom>
        <a:noFill/>
        <a:ln>
          <a:noFill/>
        </a:ln>
      </xdr:spPr>
    </xdr:pic>
    <xdr:clientData/>
  </xdr:oneCellAnchor>
  <xdr:oneCellAnchor>
    <xdr:from>
      <xdr:col>0</xdr:col>
      <xdr:colOff>421821</xdr:colOff>
      <xdr:row>50</xdr:row>
      <xdr:rowOff>134364</xdr:rowOff>
    </xdr:from>
    <xdr:ext cx="325755" cy="238124"/>
    <xdr:pic>
      <xdr:nvPicPr>
        <xdr:cNvPr id="5" name="Imagen 4">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421821" y="10414560"/>
          <a:ext cx="325755" cy="238124"/>
        </a:xfrm>
        <a:prstGeom prst="rect">
          <a:avLst/>
        </a:prstGeom>
        <a:noFill/>
        <a:ln>
          <a:noFill/>
        </a:ln>
      </xdr:spPr>
    </xdr:pic>
    <xdr:clientData/>
  </xdr:oneCellAnchor>
  <xdr:oneCellAnchor>
    <xdr:from>
      <xdr:col>1</xdr:col>
      <xdr:colOff>19049</xdr:colOff>
      <xdr:row>52</xdr:row>
      <xdr:rowOff>183696</xdr:rowOff>
    </xdr:from>
    <xdr:ext cx="314325" cy="262468"/>
    <xdr:pic>
      <xdr:nvPicPr>
        <xdr:cNvPr id="6" name="Imagen 5">
          <a:extLst>
            <a:ext uri="{FF2B5EF4-FFF2-40B4-BE49-F238E27FC236}">
              <a16:creationId xmlns:a16="http://schemas.microsoft.com/office/drawing/2014/main" id="{00000000-0008-0000-0700-000006000000}"/>
            </a:ext>
          </a:extLst>
        </xdr:cNvPr>
        <xdr:cNvPicPr/>
      </xdr:nvPicPr>
      <xdr:blipFill rotWithShape="1">
        <a:blip xmlns:r="http://schemas.openxmlformats.org/officeDocument/2006/relationships" r:embed="rId1"/>
        <a:srcRect l="30917" t="27092" r="66112" b="66954"/>
        <a:stretch/>
      </xdr:blipFill>
      <xdr:spPr bwMode="auto">
        <a:xfrm>
          <a:off x="440870" y="10892517"/>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55</xdr:row>
      <xdr:rowOff>0</xdr:rowOff>
    </xdr:from>
    <xdr:to>
      <xdr:col>1</xdr:col>
      <xdr:colOff>304800</xdr:colOff>
      <xdr:row>56</xdr:row>
      <xdr:rowOff>9525</xdr:rowOff>
    </xdr:to>
    <xdr:pic>
      <xdr:nvPicPr>
        <xdr:cNvPr id="7" name="Imagen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419100" y="14325600"/>
          <a:ext cx="304800"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400051</xdr:colOff>
      <xdr:row>56</xdr:row>
      <xdr:rowOff>123825</xdr:rowOff>
    </xdr:from>
    <xdr:ext cx="409574" cy="322791"/>
    <xdr:pic>
      <xdr:nvPicPr>
        <xdr:cNvPr id="8" name="Imagen 7">
          <a:extLst>
            <a:ext uri="{FF2B5EF4-FFF2-40B4-BE49-F238E27FC236}">
              <a16:creationId xmlns:a16="http://schemas.microsoft.com/office/drawing/2014/main" id="{00000000-0008-0000-07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400051" y="14658975"/>
          <a:ext cx="409574" cy="322791"/>
        </a:xfrm>
        <a:prstGeom prst="rect">
          <a:avLst/>
        </a:prstGeom>
        <a:noFill/>
        <a:ln>
          <a:noFill/>
        </a:ln>
      </xdr:spPr>
    </xdr:pic>
    <xdr:clientData/>
  </xdr:oneCellAnchor>
  <xdr:oneCellAnchor>
    <xdr:from>
      <xdr:col>1</xdr:col>
      <xdr:colOff>28576</xdr:colOff>
      <xdr:row>59</xdr:row>
      <xdr:rowOff>9525</xdr:rowOff>
    </xdr:from>
    <xdr:ext cx="353060" cy="195792"/>
    <xdr:pic>
      <xdr:nvPicPr>
        <xdr:cNvPr id="9" name="Imagen 8">
          <a:extLst>
            <a:ext uri="{FF2B5EF4-FFF2-40B4-BE49-F238E27FC236}">
              <a16:creationId xmlns:a16="http://schemas.microsoft.com/office/drawing/2014/main" id="{00000000-0008-0000-07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447676" y="15173325"/>
          <a:ext cx="353060" cy="195792"/>
        </a:xfrm>
        <a:prstGeom prst="rect">
          <a:avLst/>
        </a:prstGeom>
        <a:noFill/>
        <a:ln>
          <a:noFill/>
        </a:ln>
      </xdr:spPr>
    </xdr:pic>
    <xdr:clientData/>
  </xdr:oneCellAnchor>
  <xdr:oneCellAnchor>
    <xdr:from>
      <xdr:col>1</xdr:col>
      <xdr:colOff>66676</xdr:colOff>
      <xdr:row>60</xdr:row>
      <xdr:rowOff>200025</xdr:rowOff>
    </xdr:from>
    <xdr:ext cx="171450" cy="190499"/>
    <xdr:pic>
      <xdr:nvPicPr>
        <xdr:cNvPr id="10" name="Imagen 9">
          <a:extLst>
            <a:ext uri="{FF2B5EF4-FFF2-40B4-BE49-F238E27FC236}">
              <a16:creationId xmlns:a16="http://schemas.microsoft.com/office/drawing/2014/main" id="{00000000-0008-0000-07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485776" y="15573375"/>
          <a:ext cx="171450" cy="190499"/>
        </a:xfrm>
        <a:prstGeom prst="rect">
          <a:avLst/>
        </a:prstGeom>
        <a:noFill/>
        <a:ln>
          <a:noFill/>
        </a:ln>
      </xdr:spPr>
    </xdr:pic>
    <xdr:clientData/>
  </xdr:oneCellAnchor>
  <xdr:oneCellAnchor>
    <xdr:from>
      <xdr:col>1</xdr:col>
      <xdr:colOff>1362</xdr:colOff>
      <xdr:row>44</xdr:row>
      <xdr:rowOff>40826</xdr:rowOff>
    </xdr:from>
    <xdr:ext cx="304800" cy="244474"/>
    <xdr:pic>
      <xdr:nvPicPr>
        <xdr:cNvPr id="11" name="Imagen 10">
          <a:extLst>
            <a:ext uri="{FF2B5EF4-FFF2-40B4-BE49-F238E27FC236}">
              <a16:creationId xmlns:a16="http://schemas.microsoft.com/office/drawing/2014/main" id="{00000000-0008-0000-0700-00000B000000}"/>
            </a:ext>
          </a:extLst>
        </xdr:cNvPr>
        <xdr:cNvPicPr/>
      </xdr:nvPicPr>
      <xdr:blipFill rotWithShape="1">
        <a:blip xmlns:r="http://schemas.openxmlformats.org/officeDocument/2006/relationships" r:embed="rId1"/>
        <a:srcRect l="6276" t="26472" r="90088" b="67694"/>
        <a:stretch/>
      </xdr:blipFill>
      <xdr:spPr bwMode="auto">
        <a:xfrm>
          <a:off x="423183" y="9001130"/>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371475</xdr:colOff>
      <xdr:row>67</xdr:row>
      <xdr:rowOff>19050</xdr:rowOff>
    </xdr:from>
    <xdr:ext cx="349884" cy="350168"/>
    <xdr:pic>
      <xdr:nvPicPr>
        <xdr:cNvPr id="12" name="Imagen 11">
          <a:extLst>
            <a:ext uri="{FF2B5EF4-FFF2-40B4-BE49-F238E27FC236}">
              <a16:creationId xmlns:a16="http://schemas.microsoft.com/office/drawing/2014/main" id="{00000000-0008-0000-0700-00000C000000}"/>
            </a:ext>
          </a:extLst>
        </xdr:cNvPr>
        <xdr:cNvPicPr/>
      </xdr:nvPicPr>
      <xdr:blipFill rotWithShape="1">
        <a:blip xmlns:r="http://schemas.openxmlformats.org/officeDocument/2006/relationships" r:embed="rId1"/>
        <a:srcRect l="90522" t="25661" r="3198" b="67370"/>
        <a:stretch/>
      </xdr:blipFill>
      <xdr:spPr bwMode="auto">
        <a:xfrm>
          <a:off x="371475" y="20802600"/>
          <a:ext cx="349884" cy="3501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62</xdr:row>
      <xdr:rowOff>142874</xdr:rowOff>
    </xdr:from>
    <xdr:ext cx="390525" cy="322793"/>
    <xdr:pic>
      <xdr:nvPicPr>
        <xdr:cNvPr id="13" name="Imagen 12">
          <a:extLst>
            <a:ext uri="{FF2B5EF4-FFF2-40B4-BE49-F238E27FC236}">
              <a16:creationId xmlns:a16="http://schemas.microsoft.com/office/drawing/2014/main" id="{00000000-0008-0000-0700-00000D000000}"/>
            </a:ext>
          </a:extLst>
        </xdr:cNvPr>
        <xdr:cNvPicPr/>
      </xdr:nvPicPr>
      <xdr:blipFill rotWithShape="1">
        <a:blip xmlns:r="http://schemas.openxmlformats.org/officeDocument/2006/relationships" r:embed="rId1"/>
        <a:srcRect l="73767" t="26471" r="19752" b="66560"/>
        <a:stretch/>
      </xdr:blipFill>
      <xdr:spPr bwMode="auto">
        <a:xfrm>
          <a:off x="428625" y="15935324"/>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4081</xdr:colOff>
      <xdr:row>64</xdr:row>
      <xdr:rowOff>145596</xdr:rowOff>
    </xdr:from>
    <xdr:ext cx="329294" cy="283029"/>
    <xdr:pic>
      <xdr:nvPicPr>
        <xdr:cNvPr id="14" name="Imagen 13">
          <a:extLst>
            <a:ext uri="{FF2B5EF4-FFF2-40B4-BE49-F238E27FC236}">
              <a16:creationId xmlns:a16="http://schemas.microsoft.com/office/drawing/2014/main" id="{00000000-0008-0000-0700-00000E000000}"/>
            </a:ext>
          </a:extLst>
        </xdr:cNvPr>
        <xdr:cNvPicPr/>
      </xdr:nvPicPr>
      <xdr:blipFill rotWithShape="1">
        <a:blip xmlns:r="http://schemas.openxmlformats.org/officeDocument/2006/relationships" r:embed="rId1"/>
        <a:srcRect l="82144" t="25661" r="11217" b="67371"/>
        <a:stretch/>
      </xdr:blipFill>
      <xdr:spPr bwMode="auto">
        <a:xfrm>
          <a:off x="385081" y="20319546"/>
          <a:ext cx="329294" cy="28302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285201</xdr:colOff>
      <xdr:row>114</xdr:row>
      <xdr:rowOff>64130</xdr:rowOff>
    </xdr:from>
    <xdr:ext cx="3361512" cy="27604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700-00000F000000}"/>
                </a:ext>
              </a:extLst>
            </xdr:cNvPr>
            <xdr:cNvSpPr txBox="1"/>
          </xdr:nvSpPr>
          <xdr:spPr>
            <a:xfrm>
              <a:off x="1958880" y="36191094"/>
              <a:ext cx="3361512" cy="276047"/>
            </a:xfrm>
            <a:prstGeom prst="rect">
              <a:avLst/>
            </a:prstGeom>
            <a:solidFill>
              <a:sysClr val="window" lastClr="FFFFFF"/>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200" b="0" i="1">
                        <a:solidFill>
                          <a:sysClr val="windowText" lastClr="000000"/>
                        </a:solidFill>
                        <a:latin typeface="Cambria Math" panose="02040503050406030204" pitchFamily="18" charset="0"/>
                        <a:ea typeface="Cambria Math" panose="02040503050406030204" pitchFamily="18" charset="0"/>
                      </a:rPr>
                      <m:t>𝑅𝑒𝑔𝑙𝑎</m:t>
                    </m:r>
                    <m:r>
                      <a:rPr lang="es-CO" sz="1200" b="0" i="1">
                        <a:solidFill>
                          <a:sysClr val="windowText" lastClr="000000"/>
                        </a:solidFill>
                        <a:latin typeface="Cambria Math" panose="02040503050406030204" pitchFamily="18" charset="0"/>
                        <a:ea typeface="Cambria Math" panose="02040503050406030204" pitchFamily="18" charset="0"/>
                      </a:rPr>
                      <m:t> </m:t>
                    </m:r>
                    <m:r>
                      <a:rPr lang="es-CO" sz="1200" b="0" i="1">
                        <a:solidFill>
                          <a:sysClr val="windowText" lastClr="000000"/>
                        </a:solidFill>
                        <a:latin typeface="Cambria Math" panose="02040503050406030204" pitchFamily="18" charset="0"/>
                        <a:ea typeface="Cambria Math" panose="02040503050406030204" pitchFamily="18" charset="0"/>
                      </a:rPr>
                      <m:t>𝑑𝑒</m:t>
                    </m:r>
                    <m:r>
                      <a:rPr lang="es-CO" sz="1200" b="0" i="1">
                        <a:solidFill>
                          <a:sysClr val="windowText" lastClr="000000"/>
                        </a:solidFill>
                        <a:latin typeface="Cambria Math" panose="02040503050406030204" pitchFamily="18" charset="0"/>
                        <a:ea typeface="Cambria Math" panose="02040503050406030204" pitchFamily="18" charset="0"/>
                      </a:rPr>
                      <m:t> </m:t>
                    </m:r>
                    <m:r>
                      <a:rPr lang="es-CO" sz="1200" b="0" i="1">
                        <a:solidFill>
                          <a:sysClr val="windowText" lastClr="000000"/>
                        </a:solidFill>
                        <a:latin typeface="Cambria Math" panose="02040503050406030204" pitchFamily="18" charset="0"/>
                        <a:ea typeface="Cambria Math" panose="02040503050406030204" pitchFamily="18" charset="0"/>
                      </a:rPr>
                      <m:t>𝑑𝑒𝑐𝑖𝑠𝑖</m:t>
                    </m:r>
                    <m:r>
                      <a:rPr lang="es-CO" sz="1200" b="0" i="1">
                        <a:solidFill>
                          <a:sysClr val="windowText" lastClr="000000"/>
                        </a:solidFill>
                        <a:latin typeface="Cambria Math" panose="02040503050406030204" pitchFamily="18" charset="0"/>
                        <a:ea typeface="Cambria Math" panose="02040503050406030204" pitchFamily="18" charset="0"/>
                      </a:rPr>
                      <m:t>ó</m:t>
                    </m:r>
                    <m:r>
                      <a:rPr lang="es-CO" sz="1200" b="0" i="1">
                        <a:solidFill>
                          <a:sysClr val="windowText" lastClr="000000"/>
                        </a:solidFill>
                        <a:latin typeface="Cambria Math" panose="02040503050406030204" pitchFamily="18" charset="0"/>
                        <a:ea typeface="Cambria Math" panose="02040503050406030204" pitchFamily="18" charset="0"/>
                      </a:rPr>
                      <m:t>𝑛</m:t>
                    </m:r>
                    <m:r>
                      <a:rPr lang="es-CO" sz="1200" b="0" i="1">
                        <a:solidFill>
                          <a:sysClr val="windowText" lastClr="000000"/>
                        </a:solidFill>
                        <a:latin typeface="Cambria Math" panose="02040503050406030204" pitchFamily="18" charset="0"/>
                        <a:ea typeface="Cambria Math" panose="02040503050406030204" pitchFamily="18" charset="0"/>
                      </a:rPr>
                      <m:t>=|</m:t>
                    </m:r>
                    <m:r>
                      <m:rPr>
                        <m:sty m:val="p"/>
                      </m:rPr>
                      <a:rPr lang="es-CO" sz="1200" b="0" i="0">
                        <a:solidFill>
                          <a:sysClr val="windowText" lastClr="000000"/>
                        </a:solidFill>
                        <a:latin typeface="Cambria Math" panose="02040503050406030204" pitchFamily="18" charset="0"/>
                        <a:ea typeface="Cambria Math" panose="02040503050406030204" pitchFamily="18" charset="0"/>
                      </a:rPr>
                      <m:t>E</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𝑈</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𝐸𝑀𝑃</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𝐶𝑈𝑀𝑃𝐿𝐸</m:t>
                    </m:r>
                  </m:oMath>
                </m:oMathPara>
              </a14:m>
              <a:endParaRPr lang="es-CO" sz="1200">
                <a:solidFill>
                  <a:sysClr val="windowText" lastClr="000000"/>
                </a:solidFill>
                <a:latin typeface="Arial" panose="020B0604020202020204" pitchFamily="34" charset="0"/>
                <a:cs typeface="Arial" panose="020B0604020202020204" pitchFamily="34"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500-00000F000000}"/>
                </a:ext>
              </a:extLst>
            </xdr:cNvPr>
            <xdr:cNvSpPr txBox="1"/>
          </xdr:nvSpPr>
          <xdr:spPr>
            <a:xfrm>
              <a:off x="1958880" y="36191094"/>
              <a:ext cx="3361512" cy="276047"/>
            </a:xfrm>
            <a:prstGeom prst="rect">
              <a:avLst/>
            </a:prstGeom>
            <a:solidFill>
              <a:sysClr val="window" lastClr="FFFFFF"/>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r>
                <a:rPr lang="es-CO" sz="1200" b="0" i="0">
                  <a:solidFill>
                    <a:sysClr val="windowText" lastClr="000000"/>
                  </a:solidFill>
                  <a:latin typeface="Cambria Math" panose="02040503050406030204" pitchFamily="18" charset="0"/>
                  <a:ea typeface="Cambria Math" panose="02040503050406030204" pitchFamily="18" charset="0"/>
                </a:rPr>
                <a:t>𝑅𝑒𝑔𝑙𝑎 𝑑𝑒 𝑑𝑒𝑐𝑖𝑠𝑖ó𝑛=|E|+𝑈≤𝐸𝑀𝑃=𝐶𝑈𝑀𝑃𝐿𝐸</a:t>
              </a:r>
              <a:endParaRPr lang="es-CO" sz="1200">
                <a:solidFill>
                  <a:sysClr val="windowText" lastClr="000000"/>
                </a:solidFill>
                <a:latin typeface="Arial" panose="020B0604020202020204" pitchFamily="34" charset="0"/>
                <a:cs typeface="Arial" panose="020B0604020202020204" pitchFamily="34" charset="0"/>
              </a:endParaRPr>
            </a:p>
          </xdr:txBody>
        </xdr:sp>
      </mc:Fallback>
    </mc:AlternateContent>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107951</xdr:colOff>
      <xdr:row>16</xdr:row>
      <xdr:rowOff>3175</xdr:rowOff>
    </xdr:from>
    <xdr:to>
      <xdr:col>7</xdr:col>
      <xdr:colOff>244475</xdr:colOff>
      <xdr:row>20</xdr:row>
      <xdr:rowOff>180975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bright="-40000" contrast="40000"/>
                  </a14:imgEffect>
                </a14:imgLayer>
              </a14:imgProps>
            </a:ext>
          </a:extLst>
        </a:blip>
        <a:stretch>
          <a:fillRect/>
        </a:stretch>
      </xdr:blipFill>
      <xdr:spPr>
        <a:xfrm>
          <a:off x="6756401" y="4232275"/>
          <a:ext cx="1517649" cy="11684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612775</xdr:colOff>
      <xdr:row>15</xdr:row>
      <xdr:rowOff>52613</xdr:rowOff>
    </xdr:from>
    <xdr:to>
      <xdr:col>10</xdr:col>
      <xdr:colOff>367483</xdr:colOff>
      <xdr:row>17</xdr:row>
      <xdr:rowOff>184038</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rightnessContrast bright="-40000" contrast="20000"/>
                  </a14:imgEffect>
                </a14:imgLayer>
              </a14:imgProps>
            </a:ext>
          </a:extLst>
        </a:blip>
        <a:stretch>
          <a:fillRect/>
        </a:stretch>
      </xdr:blipFill>
      <xdr:spPr>
        <a:xfrm>
          <a:off x="8642350" y="4091213"/>
          <a:ext cx="3612333" cy="5124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647700</xdr:colOff>
      <xdr:row>19</xdr:row>
      <xdr:rowOff>117475</xdr:rowOff>
    </xdr:from>
    <xdr:to>
      <xdr:col>10</xdr:col>
      <xdr:colOff>422275</xdr:colOff>
      <xdr:row>20</xdr:row>
      <xdr:rowOff>95205</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rightnessContrast bright="-40000" contrast="20000"/>
                  </a14:imgEffect>
                </a14:imgLayer>
              </a14:imgProps>
            </a:ext>
          </a:extLst>
        </a:blip>
        <a:stretch>
          <a:fillRect/>
        </a:stretch>
      </xdr:blipFill>
      <xdr:spPr>
        <a:xfrm>
          <a:off x="8677275" y="4937125"/>
          <a:ext cx="3632200" cy="37778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9</xdr:col>
      <xdr:colOff>307973</xdr:colOff>
      <xdr:row>2</xdr:row>
      <xdr:rowOff>12698</xdr:rowOff>
    </xdr:from>
    <xdr:to>
      <xdr:col>16</xdr:col>
      <xdr:colOff>391073</xdr:colOff>
      <xdr:row>14</xdr:row>
      <xdr:rowOff>90398</xdr:rowOff>
    </xdr:to>
    <xdr:graphicFrame macro="">
      <xdr:nvGraphicFramePr>
        <xdr:cNvPr id="5" name="Gráfico 4">
          <a:extLst>
            <a:ext uri="{FF2B5EF4-FFF2-40B4-BE49-F238E27FC236}">
              <a16:creationId xmlns:a16="http://schemas.microsoft.com/office/drawing/2014/main" id="{00000000-0008-0000-0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3</xdr:col>
      <xdr:colOff>238126</xdr:colOff>
      <xdr:row>0</xdr:row>
      <xdr:rowOff>345281</xdr:rowOff>
    </xdr:from>
    <xdr:to>
      <xdr:col>5</xdr:col>
      <xdr:colOff>361329</xdr:colOff>
      <xdr:row>0</xdr:row>
      <xdr:rowOff>930548</xdr:rowOff>
    </xdr:to>
    <xdr:pic>
      <xdr:nvPicPr>
        <xdr:cNvPr id="6" name="5 Imagen">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8"/>
        <a:stretch>
          <a:fillRect/>
        </a:stretch>
      </xdr:blipFill>
      <xdr:spPr>
        <a:xfrm>
          <a:off x="3500439" y="345281"/>
          <a:ext cx="2706859" cy="58526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Elvis Aguirre Romero" id="{1729FB61-DAC7-401C-A52D-D9F05AB42C60}" userId="Elvis Aguirre Romero" providerId="None"/>
</personList>
</file>

<file path=xl/theme/theme1.xml><?xml version="1.0" encoding="utf-8"?>
<a:theme xmlns:a="http://schemas.openxmlformats.org/drawingml/2006/main" name="Tema de Office">
  <a:themeElements>
    <a:clrScheme name="Azul">
      <a:dk1>
        <a:sysClr val="windowText" lastClr="000000"/>
      </a:dk1>
      <a:lt1>
        <a:sysClr val="window" lastClr="FFFFFF"/>
      </a:lt1>
      <a:dk2>
        <a:srgbClr val="17406D"/>
      </a:dk2>
      <a:lt2>
        <a:srgbClr val="DBEFF9"/>
      </a:lt2>
      <a:accent1>
        <a:srgbClr val="0F6FC6"/>
      </a:accent1>
      <a:accent2>
        <a:srgbClr val="009DD9"/>
      </a:accent2>
      <a:accent3>
        <a:srgbClr val="0BD0D9"/>
      </a:accent3>
      <a:accent4>
        <a:srgbClr val="10CF9B"/>
      </a:accent4>
      <a:accent5>
        <a:srgbClr val="7CCA62"/>
      </a:accent5>
      <a:accent6>
        <a:srgbClr val="A5C249"/>
      </a:accent6>
      <a:hlink>
        <a:srgbClr val="F49100"/>
      </a:hlink>
      <a:folHlink>
        <a:srgbClr val="85DFD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Q36" dT="2020-08-24T15:44:37.48" personId="{1729FB61-DAC7-401C-A52D-D9F05AB42C60}" id="{F4C78DFD-55AB-4778-B6B3-60BA6BB83573}">
    <text>Puntos de calibración anterior 2019</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66CC"/>
  </sheetPr>
  <dimension ref="A1:CP230"/>
  <sheetViews>
    <sheetView showGridLines="0" view="pageBreakPreview" topLeftCell="E29" zoomScale="80" zoomScaleNormal="50" zoomScaleSheetLayoutView="80" workbookViewId="0">
      <selection activeCell="M6" sqref="M6"/>
    </sheetView>
  </sheetViews>
  <sheetFormatPr baseColWidth="10" defaultColWidth="15.7109375" defaultRowHeight="35.1" customHeight="1" x14ac:dyDescent="0.2"/>
  <cols>
    <col min="1" max="1" width="19.28515625" style="317" bestFit="1" customWidth="1"/>
    <col min="2" max="3" width="15.7109375" style="317"/>
    <col min="4" max="4" width="23.7109375" style="317" bestFit="1" customWidth="1"/>
    <col min="5" max="6" width="19.140625" style="317" customWidth="1"/>
    <col min="7" max="7" width="23.140625" style="317" customWidth="1"/>
    <col min="8" max="8" width="15.7109375" style="317"/>
    <col min="9" max="9" width="20.42578125" style="317" customWidth="1"/>
    <col min="10" max="10" width="23.42578125" style="317" customWidth="1"/>
    <col min="11" max="11" width="19.7109375" style="317" customWidth="1"/>
    <col min="12" max="12" width="18.5703125" style="317" customWidth="1"/>
    <col min="13" max="13" width="20.140625" style="317" customWidth="1"/>
    <col min="14" max="14" width="23.42578125" style="317" bestFit="1" customWidth="1"/>
    <col min="15" max="15" width="19.85546875" style="317" customWidth="1"/>
    <col min="16" max="16" width="16.5703125" style="317" customWidth="1"/>
    <col min="17" max="17" width="17.7109375" style="317" customWidth="1"/>
    <col min="18" max="18" width="18.7109375" style="317" customWidth="1"/>
    <col min="19" max="19" width="16.5703125" style="317" customWidth="1"/>
    <col min="20" max="20" width="17.140625" style="320" customWidth="1"/>
    <col min="21" max="21" width="27" style="320" customWidth="1"/>
    <col min="22" max="22" width="15.5703125" style="320" customWidth="1"/>
    <col min="23" max="23" width="18.7109375" style="320" bestFit="1" customWidth="1"/>
    <col min="24" max="24" width="15.85546875" style="320" customWidth="1"/>
    <col min="25" max="25" width="18.28515625" style="320" customWidth="1"/>
    <col min="26" max="28" width="16" style="320" customWidth="1"/>
    <col min="29" max="33" width="16" style="317" customWidth="1"/>
    <col min="34" max="40" width="20.7109375" style="317" customWidth="1"/>
    <col min="41" max="42" width="15.7109375" style="317"/>
    <col min="43" max="43" width="15.7109375" style="319"/>
    <col min="44" max="45" width="15.7109375" style="317"/>
    <col min="46" max="56" width="16" style="317" customWidth="1"/>
    <col min="57" max="58" width="16" style="317" bestFit="1" customWidth="1"/>
    <col min="59" max="16384" width="15.7109375" style="317"/>
  </cols>
  <sheetData>
    <row r="1" spans="1:94" ht="80.099999999999994" customHeight="1" thickBot="1" x14ac:dyDescent="0.25">
      <c r="A1" s="1632"/>
      <c r="B1" s="1633"/>
      <c r="C1" s="1633"/>
      <c r="D1" s="1634"/>
      <c r="E1" s="1604" t="s">
        <v>671</v>
      </c>
      <c r="F1" s="1605"/>
      <c r="G1" s="1605"/>
      <c r="H1" s="1605"/>
      <c r="I1" s="1605"/>
      <c r="J1" s="1605"/>
      <c r="K1" s="1605"/>
      <c r="L1" s="1605"/>
      <c r="M1" s="1605"/>
      <c r="N1" s="1605"/>
      <c r="O1" s="1605"/>
      <c r="P1" s="1605"/>
      <c r="Q1" s="1605"/>
      <c r="R1" s="1605"/>
      <c r="S1" s="1605"/>
      <c r="T1" s="1605"/>
      <c r="U1" s="1605"/>
      <c r="V1" s="1606"/>
      <c r="W1" s="316"/>
      <c r="X1" s="316"/>
      <c r="Y1" s="316"/>
      <c r="Z1" s="316"/>
      <c r="AA1" s="316"/>
      <c r="AB1" s="316"/>
      <c r="AC1" s="316"/>
      <c r="AD1" s="316"/>
      <c r="AG1" s="313"/>
      <c r="AH1" s="313"/>
      <c r="AI1" s="316"/>
      <c r="AJ1" s="316"/>
      <c r="AK1" s="316"/>
      <c r="AL1" s="316"/>
      <c r="AM1" s="316"/>
      <c r="AN1" s="316"/>
      <c r="AO1" s="316"/>
      <c r="AP1" s="316"/>
      <c r="AQ1" s="318"/>
      <c r="AR1" s="316"/>
      <c r="AS1" s="316"/>
      <c r="AT1" s="316"/>
      <c r="AU1" s="316"/>
      <c r="AW1" s="313"/>
      <c r="AX1" s="313"/>
      <c r="AY1" s="316"/>
      <c r="AZ1" s="316"/>
      <c r="BA1" s="316"/>
      <c r="BB1" s="316"/>
      <c r="BC1" s="316"/>
      <c r="BD1" s="316"/>
      <c r="BE1" s="316"/>
      <c r="BF1" s="316"/>
      <c r="BG1" s="316"/>
      <c r="BH1" s="316"/>
      <c r="BI1" s="316"/>
      <c r="BJ1" s="316"/>
      <c r="BK1" s="316"/>
      <c r="BL1" s="316"/>
      <c r="BM1" s="316"/>
    </row>
    <row r="2" spans="1:94" ht="35.1" customHeight="1" x14ac:dyDescent="0.2">
      <c r="C2" s="313"/>
      <c r="T2" s="317"/>
      <c r="U2" s="317"/>
      <c r="V2" s="317"/>
      <c r="W2" s="317"/>
      <c r="X2" s="317"/>
      <c r="Y2" s="317"/>
      <c r="Z2" s="317"/>
      <c r="AA2" s="317"/>
      <c r="AB2" s="317"/>
    </row>
    <row r="3" spans="1:94" ht="35.1" customHeight="1" x14ac:dyDescent="0.2">
      <c r="U3" s="317"/>
      <c r="V3" s="317"/>
      <c r="W3" s="317"/>
      <c r="X3" s="317"/>
      <c r="Y3" s="317"/>
      <c r="Z3" s="317"/>
      <c r="AA3" s="317"/>
      <c r="AB3" s="317"/>
      <c r="AH3" s="320"/>
      <c r="AI3" s="320"/>
      <c r="AJ3" s="320"/>
      <c r="AK3" s="320"/>
      <c r="AL3" s="320"/>
      <c r="AM3" s="320"/>
      <c r="AN3" s="320"/>
      <c r="AO3" s="320"/>
      <c r="AP3" s="320"/>
    </row>
    <row r="4" spans="1:94" ht="30" customHeight="1" thickBot="1" x14ac:dyDescent="0.25">
      <c r="U4" s="317"/>
      <c r="V4" s="317"/>
      <c r="W4" s="317"/>
      <c r="X4" s="317"/>
      <c r="Y4" s="317"/>
      <c r="Z4" s="317"/>
      <c r="AA4" s="317"/>
      <c r="AB4" s="317"/>
      <c r="AV4" s="313"/>
      <c r="BE4" s="313"/>
    </row>
    <row r="5" spans="1:94" ht="69.95" customHeight="1" thickBot="1" x14ac:dyDescent="0.25">
      <c r="D5" s="1477" t="s">
        <v>189</v>
      </c>
      <c r="E5" s="1619"/>
      <c r="F5" s="1619"/>
      <c r="G5" s="1619"/>
      <c r="H5" s="1619"/>
      <c r="I5" s="1619"/>
      <c r="J5" s="1619"/>
      <c r="K5" s="1619"/>
      <c r="L5" s="1619"/>
      <c r="M5" s="1619"/>
      <c r="N5" s="1478"/>
      <c r="U5" s="317"/>
      <c r="V5" s="317"/>
      <c r="W5" s="317"/>
      <c r="X5" s="317"/>
      <c r="Y5" s="317"/>
      <c r="Z5" s="317"/>
      <c r="AA5" s="317"/>
      <c r="AB5" s="317"/>
      <c r="AD5" s="321"/>
      <c r="AV5" s="313"/>
      <c r="BE5" s="322"/>
    </row>
    <row r="6" spans="1:94" ht="69.95" customHeight="1" thickBot="1" x14ac:dyDescent="0.3">
      <c r="D6" s="323" t="s">
        <v>137</v>
      </c>
      <c r="E6" s="324" t="s">
        <v>345</v>
      </c>
      <c r="F6" s="325" t="s">
        <v>677</v>
      </c>
      <c r="G6" s="325" t="s">
        <v>730</v>
      </c>
      <c r="H6" s="325"/>
      <c r="I6" s="325" t="s">
        <v>732</v>
      </c>
      <c r="J6" s="325" t="s">
        <v>733</v>
      </c>
      <c r="K6" s="326" t="s">
        <v>33</v>
      </c>
      <c r="L6" s="326" t="s">
        <v>310</v>
      </c>
      <c r="M6" s="327" t="s">
        <v>224</v>
      </c>
      <c r="N6" s="1004" t="s">
        <v>676</v>
      </c>
      <c r="AV6" s="313"/>
      <c r="BE6" s="313"/>
      <c r="BY6" s="328"/>
    </row>
    <row r="7" spans="1:94" ht="30" customHeight="1" thickBot="1" x14ac:dyDescent="0.25">
      <c r="D7" s="329"/>
      <c r="E7" s="330"/>
      <c r="F7" s="330"/>
      <c r="G7" s="330"/>
      <c r="H7" s="331"/>
      <c r="I7" s="330"/>
      <c r="J7" s="330"/>
      <c r="K7" s="330"/>
      <c r="L7" s="330"/>
      <c r="M7" s="332"/>
      <c r="N7" s="333"/>
      <c r="P7" s="1614" t="s">
        <v>284</v>
      </c>
      <c r="Q7" s="1615"/>
      <c r="R7" s="1615"/>
      <c r="S7" s="1615"/>
      <c r="T7" s="1615"/>
      <c r="U7" s="1616"/>
      <c r="AV7" s="334"/>
      <c r="BE7" s="313"/>
    </row>
    <row r="8" spans="1:94" s="335" customFormat="1" ht="30" customHeight="1" thickBot="1" x14ac:dyDescent="0.25">
      <c r="B8" s="317"/>
      <c r="C8" s="317"/>
      <c r="D8" s="336">
        <v>1</v>
      </c>
      <c r="E8" s="337"/>
      <c r="F8" s="338"/>
      <c r="G8" s="998"/>
      <c r="H8" s="340"/>
      <c r="I8" s="338"/>
      <c r="J8" s="1001"/>
      <c r="K8" s="1001"/>
      <c r="L8" s="1001"/>
      <c r="M8" s="1002"/>
      <c r="N8" s="1003"/>
      <c r="P8" s="341" t="s">
        <v>137</v>
      </c>
      <c r="Q8" s="1608" t="s">
        <v>285</v>
      </c>
      <c r="R8" s="1609"/>
      <c r="S8" s="1609"/>
      <c r="T8" s="1609"/>
      <c r="U8" s="1610"/>
      <c r="AI8" s="317"/>
      <c r="AJ8" s="317"/>
      <c r="AV8" s="334"/>
      <c r="BE8" s="334"/>
      <c r="BZ8" s="317"/>
      <c r="CA8" s="317"/>
      <c r="CB8" s="317"/>
      <c r="CC8" s="317"/>
      <c r="CD8" s="317"/>
      <c r="CE8" s="317"/>
      <c r="CF8" s="317"/>
      <c r="CG8" s="317"/>
      <c r="CH8" s="317"/>
      <c r="CI8" s="317"/>
      <c r="CJ8" s="317"/>
      <c r="CK8" s="317"/>
      <c r="CL8" s="317"/>
      <c r="CM8" s="317"/>
      <c r="CN8" s="317"/>
      <c r="CO8" s="317"/>
      <c r="CP8" s="317"/>
    </row>
    <row r="9" spans="1:94" s="335" customFormat="1" ht="30" customHeight="1" thickBot="1" x14ac:dyDescent="0.25">
      <c r="B9" s="317"/>
      <c r="C9" s="317"/>
      <c r="D9" s="342"/>
      <c r="E9" s="343"/>
      <c r="F9" s="344"/>
      <c r="G9" s="343"/>
      <c r="H9" s="345"/>
      <c r="I9" s="344"/>
      <c r="J9" s="343"/>
      <c r="K9" s="343"/>
      <c r="L9" s="343"/>
      <c r="M9" s="343"/>
      <c r="N9" s="346"/>
      <c r="P9" s="347"/>
      <c r="Q9" s="1617"/>
      <c r="R9" s="1618"/>
      <c r="S9" s="1611"/>
      <c r="T9" s="1612"/>
      <c r="U9" s="1613"/>
      <c r="AI9" s="317"/>
      <c r="AJ9" s="317"/>
      <c r="AV9" s="334"/>
      <c r="BE9" s="334"/>
      <c r="BZ9" s="317"/>
      <c r="CA9" s="317"/>
      <c r="CB9" s="317"/>
      <c r="CC9" s="317"/>
      <c r="CD9" s="317"/>
      <c r="CE9" s="317"/>
      <c r="CF9" s="317"/>
      <c r="CG9" s="317"/>
      <c r="CH9" s="317"/>
      <c r="CI9" s="317"/>
      <c r="CJ9" s="317"/>
      <c r="CK9" s="317"/>
      <c r="CL9" s="317"/>
      <c r="CM9" s="317"/>
      <c r="CN9" s="317"/>
      <c r="CO9" s="317"/>
      <c r="CP9" s="317"/>
    </row>
    <row r="10" spans="1:94" s="335" customFormat="1" ht="30" customHeight="1" thickBot="1" x14ac:dyDescent="0.25">
      <c r="B10" s="317"/>
      <c r="C10" s="317"/>
      <c r="D10" s="348"/>
      <c r="E10" s="349"/>
      <c r="F10" s="350"/>
      <c r="G10" s="349"/>
      <c r="H10" s="350"/>
      <c r="I10" s="348"/>
      <c r="J10" s="348"/>
      <c r="K10" s="348"/>
      <c r="L10" s="348"/>
      <c r="M10" s="317"/>
      <c r="N10" s="317"/>
      <c r="O10" s="317"/>
      <c r="P10" s="351" t="s">
        <v>353</v>
      </c>
      <c r="Q10" s="352" t="s">
        <v>383</v>
      </c>
      <c r="R10" s="352"/>
      <c r="S10" s="352" t="s">
        <v>381</v>
      </c>
      <c r="T10" s="353"/>
      <c r="U10" s="354" t="s">
        <v>239</v>
      </c>
      <c r="W10" s="317"/>
      <c r="X10" s="317"/>
      <c r="AI10" s="317"/>
      <c r="AJ10" s="317"/>
      <c r="AV10" s="334"/>
      <c r="BE10" s="334"/>
      <c r="BZ10" s="317"/>
      <c r="CA10" s="317"/>
      <c r="CB10" s="317"/>
      <c r="CC10" s="317"/>
      <c r="CD10" s="317"/>
      <c r="CE10" s="317"/>
      <c r="CF10" s="317"/>
      <c r="CG10" s="317"/>
      <c r="CH10" s="317"/>
      <c r="CI10" s="317"/>
      <c r="CJ10" s="317"/>
      <c r="CK10" s="317"/>
      <c r="CL10" s="317"/>
      <c r="CM10" s="317"/>
      <c r="CN10" s="317"/>
      <c r="CO10" s="317"/>
      <c r="CP10" s="317"/>
    </row>
    <row r="11" spans="1:94" s="335" customFormat="1" ht="30" customHeight="1" x14ac:dyDescent="0.2">
      <c r="B11" s="1620" t="s">
        <v>248</v>
      </c>
      <c r="C11" s="1621"/>
      <c r="D11" s="1621"/>
      <c r="E11" s="1621"/>
      <c r="F11" s="1621"/>
      <c r="G11" s="1621"/>
      <c r="H11" s="1621"/>
      <c r="I11" s="1621"/>
      <c r="J11" s="1621"/>
      <c r="K11" s="1621"/>
      <c r="L11" s="1621"/>
      <c r="M11" s="1621"/>
      <c r="N11" s="1622"/>
      <c r="O11" s="317"/>
      <c r="P11" s="336" t="s">
        <v>187</v>
      </c>
      <c r="Q11" s="355" t="s">
        <v>96</v>
      </c>
      <c r="R11" s="353"/>
      <c r="S11" s="352" t="s">
        <v>382</v>
      </c>
      <c r="T11" s="353"/>
      <c r="U11" s="354" t="s">
        <v>239</v>
      </c>
      <c r="W11" s="317"/>
      <c r="X11" s="317"/>
      <c r="AI11" s="317"/>
      <c r="AJ11" s="317"/>
      <c r="AV11" s="334"/>
      <c r="BE11" s="334"/>
      <c r="BZ11" s="317"/>
      <c r="CA11" s="317"/>
      <c r="CB11" s="317"/>
      <c r="CC11" s="317"/>
      <c r="CD11" s="317"/>
      <c r="CE11" s="317"/>
      <c r="CF11" s="317"/>
      <c r="CG11" s="317"/>
      <c r="CH11" s="317"/>
      <c r="CI11" s="317"/>
      <c r="CJ11" s="317"/>
      <c r="CK11" s="317"/>
      <c r="CL11" s="317"/>
      <c r="CM11" s="317"/>
      <c r="CN11" s="317"/>
      <c r="CO11" s="317"/>
      <c r="CP11" s="317"/>
    </row>
    <row r="12" spans="1:94" s="335" customFormat="1" ht="30" customHeight="1" thickBot="1" x14ac:dyDescent="0.25">
      <c r="B12" s="1623"/>
      <c r="C12" s="1624"/>
      <c r="D12" s="1624"/>
      <c r="E12" s="1624"/>
      <c r="F12" s="1624"/>
      <c r="G12" s="1624"/>
      <c r="H12" s="1624"/>
      <c r="I12" s="1624"/>
      <c r="J12" s="1624"/>
      <c r="K12" s="1624"/>
      <c r="L12" s="1624"/>
      <c r="M12" s="1624"/>
      <c r="N12" s="1625"/>
      <c r="O12" s="317"/>
      <c r="P12" s="356" t="s">
        <v>188</v>
      </c>
      <c r="Q12" s="357" t="s">
        <v>143</v>
      </c>
      <c r="R12" s="358"/>
      <c r="S12" s="359" t="s">
        <v>381</v>
      </c>
      <c r="T12" s="358"/>
      <c r="U12" s="360" t="s">
        <v>239</v>
      </c>
      <c r="W12" s="317"/>
      <c r="X12" s="317"/>
      <c r="Y12" s="334"/>
      <c r="AI12" s="317"/>
      <c r="AJ12" s="317"/>
      <c r="AV12" s="313"/>
      <c r="BE12" s="334"/>
      <c r="BZ12" s="317"/>
      <c r="CA12" s="317"/>
      <c r="CB12" s="317"/>
      <c r="CC12" s="317"/>
      <c r="CD12" s="317"/>
      <c r="CE12" s="317"/>
      <c r="CF12" s="317"/>
      <c r="CG12" s="317"/>
      <c r="CH12" s="317"/>
      <c r="CI12" s="317"/>
      <c r="CJ12" s="317"/>
      <c r="CK12" s="317"/>
      <c r="CL12" s="317"/>
      <c r="CM12" s="317"/>
      <c r="CN12" s="317"/>
      <c r="CO12" s="317"/>
      <c r="CP12" s="317"/>
    </row>
    <row r="13" spans="1:94" ht="97.5" customHeight="1" thickBot="1" x14ac:dyDescent="0.25">
      <c r="B13" s="361" t="s">
        <v>137</v>
      </c>
      <c r="C13" s="362" t="s">
        <v>26</v>
      </c>
      <c r="D13" s="362" t="s">
        <v>27</v>
      </c>
      <c r="E13" s="362" t="s">
        <v>115</v>
      </c>
      <c r="F13" s="362" t="s">
        <v>387</v>
      </c>
      <c r="G13" s="362" t="s">
        <v>386</v>
      </c>
      <c r="H13" s="363" t="s">
        <v>140</v>
      </c>
      <c r="I13" s="362" t="s">
        <v>141</v>
      </c>
      <c r="J13" s="363" t="s">
        <v>455</v>
      </c>
      <c r="K13" s="362" t="s">
        <v>138</v>
      </c>
      <c r="L13" s="362" t="s">
        <v>142</v>
      </c>
      <c r="M13" s="362" t="s">
        <v>456</v>
      </c>
      <c r="N13" s="362" t="s">
        <v>190</v>
      </c>
      <c r="O13" s="320"/>
      <c r="P13" s="320"/>
      <c r="Q13" s="320"/>
      <c r="R13" s="320"/>
      <c r="S13" s="320"/>
      <c r="W13" s="317"/>
      <c r="X13" s="317"/>
      <c r="Y13" s="335"/>
      <c r="AV13" s="313"/>
      <c r="BE13" s="313"/>
    </row>
    <row r="14" spans="1:94" ht="30" customHeight="1" thickBot="1" x14ac:dyDescent="0.25">
      <c r="B14" s="329"/>
      <c r="C14" s="364"/>
      <c r="D14" s="364"/>
      <c r="E14" s="364"/>
      <c r="F14" s="364"/>
      <c r="G14" s="364"/>
      <c r="H14" s="244" t="s">
        <v>526</v>
      </c>
      <c r="I14" s="364"/>
      <c r="J14" s="245">
        <v>316</v>
      </c>
      <c r="K14" s="364"/>
      <c r="L14" s="364"/>
      <c r="M14" s="364"/>
      <c r="N14" s="365"/>
      <c r="O14" s="320"/>
      <c r="P14" s="320"/>
      <c r="Q14" s="366"/>
      <c r="R14" s="366"/>
      <c r="S14" s="321"/>
      <c r="T14" s="1571"/>
      <c r="U14" s="1571"/>
      <c r="V14" s="1571"/>
      <c r="W14" s="317"/>
      <c r="X14" s="317"/>
      <c r="Y14" s="317"/>
      <c r="AV14" s="313"/>
      <c r="BE14" s="313"/>
    </row>
    <row r="15" spans="1:94" ht="30" customHeight="1" thickBot="1" x14ac:dyDescent="0.25">
      <c r="B15" s="336">
        <v>1</v>
      </c>
      <c r="C15" s="1001"/>
      <c r="D15" s="1006"/>
      <c r="E15" s="367"/>
      <c r="F15" s="518">
        <v>15.56</v>
      </c>
      <c r="G15" s="368" t="s">
        <v>311</v>
      </c>
      <c r="H15" s="337">
        <f>VLOOKUP(H14,'DATOS &amp;'!AC114:AF118,4,FALSE)</f>
        <v>8.1935299999999991</v>
      </c>
      <c r="I15" s="337">
        <f>H15</f>
        <v>8.1935299999999991</v>
      </c>
      <c r="J15" s="369">
        <f>VLOOKUP(J14,'DATOS &amp;'!AH114:AI117,2,FALSE)</f>
        <v>4.7700000000000001E-5</v>
      </c>
      <c r="K15" s="370">
        <f>AVERAGE(K17:K19)</f>
        <v>7.34</v>
      </c>
      <c r="L15" s="371">
        <v>5.0000000000000001E-3</v>
      </c>
      <c r="M15" s="369">
        <v>9.9000000000000001E-6</v>
      </c>
      <c r="N15" s="372">
        <f>N8</f>
        <v>0</v>
      </c>
      <c r="P15" s="320"/>
      <c r="Q15" s="320"/>
      <c r="R15" s="320"/>
      <c r="T15" s="313"/>
      <c r="Y15" s="317"/>
      <c r="AV15" s="313"/>
      <c r="BE15" s="313"/>
    </row>
    <row r="16" spans="1:94" ht="30" customHeight="1" thickBot="1" x14ac:dyDescent="0.25">
      <c r="B16" s="342"/>
      <c r="C16" s="343"/>
      <c r="D16" s="343"/>
      <c r="E16" s="343"/>
      <c r="F16" s="343"/>
      <c r="G16" s="343"/>
      <c r="H16" s="343"/>
      <c r="I16" s="343"/>
      <c r="J16" s="373"/>
      <c r="K16" s="623" t="s">
        <v>252</v>
      </c>
      <c r="L16" s="374"/>
      <c r="M16" s="343"/>
      <c r="N16" s="375"/>
      <c r="O16" s="376"/>
      <c r="P16" s="320"/>
      <c r="Q16" s="320"/>
      <c r="R16" s="320"/>
      <c r="T16" s="313"/>
      <c r="Y16" s="317"/>
      <c r="AV16" s="313"/>
      <c r="BE16" s="313"/>
    </row>
    <row r="17" spans="1:58" ht="30" customHeight="1" x14ac:dyDescent="0.2">
      <c r="B17" s="313"/>
      <c r="C17" s="313"/>
      <c r="D17" s="348"/>
      <c r="E17" s="349"/>
      <c r="F17" s="377"/>
      <c r="G17" s="349"/>
      <c r="H17" s="377"/>
      <c r="I17" s="349"/>
      <c r="J17" s="349"/>
      <c r="K17" s="378">
        <v>7.33</v>
      </c>
      <c r="L17" s="349"/>
      <c r="O17" s="320"/>
      <c r="P17" s="320"/>
      <c r="Q17" s="320"/>
      <c r="R17" s="320"/>
      <c r="T17" s="313"/>
      <c r="AV17" s="313"/>
      <c r="BE17" s="313"/>
    </row>
    <row r="18" spans="1:58" ht="30" customHeight="1" x14ac:dyDescent="0.2">
      <c r="B18" s="313"/>
      <c r="C18" s="313"/>
      <c r="D18" s="348"/>
      <c r="E18" s="349"/>
      <c r="F18" s="377"/>
      <c r="G18" s="349"/>
      <c r="H18" s="377"/>
      <c r="I18" s="349"/>
      <c r="J18" s="349"/>
      <c r="K18" s="379">
        <v>7.34</v>
      </c>
      <c r="L18" s="349"/>
      <c r="O18" s="320"/>
      <c r="P18" s="320"/>
      <c r="Q18" s="320"/>
      <c r="R18" s="320"/>
      <c r="T18" s="313"/>
      <c r="AV18" s="313"/>
      <c r="BE18" s="313"/>
    </row>
    <row r="19" spans="1:58" ht="30" customHeight="1" thickBot="1" x14ac:dyDescent="0.25">
      <c r="A19" s="349"/>
      <c r="B19" s="349"/>
      <c r="C19" s="349"/>
      <c r="D19" s="349"/>
      <c r="E19" s="349"/>
      <c r="F19" s="349"/>
      <c r="G19" s="349"/>
      <c r="H19" s="349"/>
      <c r="I19" s="349"/>
      <c r="J19" s="349"/>
      <c r="K19" s="380">
        <v>7.35</v>
      </c>
      <c r="L19" s="617"/>
      <c r="M19" s="617"/>
      <c r="N19" s="617"/>
      <c r="O19" s="617"/>
      <c r="P19" s="320"/>
      <c r="Q19" s="320"/>
      <c r="R19" s="320"/>
      <c r="T19" s="313"/>
      <c r="AV19" s="313"/>
      <c r="AW19" s="313"/>
      <c r="AX19" s="313"/>
      <c r="AY19" s="313"/>
      <c r="AZ19" s="313"/>
      <c r="BA19" s="313"/>
      <c r="BB19" s="313"/>
      <c r="BC19" s="313"/>
      <c r="BD19" s="313"/>
      <c r="BE19" s="313"/>
    </row>
    <row r="20" spans="1:58" ht="30" customHeight="1" thickBot="1" x14ac:dyDescent="0.25">
      <c r="A20" s="334"/>
      <c r="B20" s="334"/>
      <c r="C20" s="334"/>
      <c r="D20" s="334"/>
      <c r="E20" s="334"/>
      <c r="F20" s="334"/>
      <c r="G20" s="334"/>
      <c r="H20" s="334"/>
      <c r="I20" s="334"/>
      <c r="J20" s="334"/>
      <c r="K20" s="383"/>
      <c r="L20" s="617"/>
      <c r="M20" s="617"/>
      <c r="N20" s="617"/>
      <c r="O20" s="617"/>
      <c r="P20" s="320"/>
      <c r="Q20" s="320"/>
      <c r="R20" s="320"/>
      <c r="T20" s="313"/>
      <c r="AV20" s="313"/>
      <c r="AW20" s="313"/>
      <c r="AX20" s="313"/>
      <c r="AY20" s="313"/>
      <c r="AZ20" s="313"/>
      <c r="BA20" s="313"/>
      <c r="BB20" s="313"/>
      <c r="BC20" s="313"/>
      <c r="BD20" s="313"/>
      <c r="BE20" s="313"/>
    </row>
    <row r="21" spans="1:58" ht="30" customHeight="1" thickBot="1" x14ac:dyDescent="0.25">
      <c r="A21" s="384"/>
      <c r="B21" s="1480" t="s">
        <v>191</v>
      </c>
      <c r="C21" s="1481"/>
      <c r="D21" s="1481"/>
      <c r="E21" s="1481"/>
      <c r="F21" s="1481"/>
      <c r="G21" s="1481"/>
      <c r="H21" s="1481"/>
      <c r="I21" s="1481"/>
      <c r="J21" s="1481"/>
      <c r="K21" s="1481"/>
      <c r="L21" s="1481"/>
      <c r="M21" s="1481"/>
      <c r="N21" s="1481"/>
      <c r="O21" s="1482"/>
      <c r="P21" s="385"/>
      <c r="Q21" s="320"/>
      <c r="R21" s="320"/>
      <c r="T21" s="313"/>
      <c r="AV21" s="313"/>
      <c r="BE21" s="313"/>
    </row>
    <row r="22" spans="1:58" ht="30" customHeight="1" thickBot="1" x14ac:dyDescent="0.25">
      <c r="A22" s="384"/>
      <c r="B22" s="313"/>
      <c r="C22" s="313"/>
      <c r="D22" s="313"/>
      <c r="E22" s="313"/>
      <c r="F22" s="313"/>
      <c r="G22" s="313"/>
      <c r="H22" s="313"/>
      <c r="I22" s="313"/>
      <c r="J22" s="313"/>
      <c r="K22" s="386"/>
      <c r="L22" s="313"/>
      <c r="M22" s="313"/>
      <c r="N22" s="313"/>
      <c r="O22" s="320"/>
      <c r="P22" s="320"/>
      <c r="Q22" s="320"/>
      <c r="R22" s="320"/>
      <c r="T22" s="313"/>
      <c r="AV22" s="313"/>
      <c r="BE22" s="313"/>
    </row>
    <row r="23" spans="1:58" ht="80.25" customHeight="1" thickBot="1" x14ac:dyDescent="0.25">
      <c r="A23" s="384"/>
      <c r="B23" s="606" t="s">
        <v>275</v>
      </c>
      <c r="C23" s="607" t="s">
        <v>26</v>
      </c>
      <c r="D23" s="607" t="s">
        <v>27</v>
      </c>
      <c r="E23" s="607" t="s">
        <v>115</v>
      </c>
      <c r="F23" s="607" t="s">
        <v>491</v>
      </c>
      <c r="G23" s="607" t="s">
        <v>116</v>
      </c>
      <c r="H23" s="607" t="s">
        <v>240</v>
      </c>
      <c r="I23" s="607" t="s">
        <v>241</v>
      </c>
      <c r="J23" s="607" t="s">
        <v>477</v>
      </c>
      <c r="K23" s="608" t="s">
        <v>138</v>
      </c>
      <c r="L23" s="609" t="s">
        <v>312</v>
      </c>
      <c r="M23" s="610" t="s">
        <v>103</v>
      </c>
      <c r="R23" s="320"/>
      <c r="T23" s="313"/>
      <c r="AV23" s="313"/>
      <c r="BE23" s="313"/>
    </row>
    <row r="24" spans="1:58" ht="30" customHeight="1" thickBot="1" x14ac:dyDescent="0.25">
      <c r="A24" s="384"/>
      <c r="B24" s="314"/>
      <c r="C24" s="387"/>
      <c r="D24" s="387"/>
      <c r="E24" s="387"/>
      <c r="F24" s="387"/>
      <c r="G24" s="387"/>
      <c r="H24" s="387"/>
      <c r="I24" s="387"/>
      <c r="J24" s="387"/>
      <c r="K24" s="388"/>
      <c r="L24" s="387"/>
      <c r="M24" s="315"/>
      <c r="Q24" s="1626" t="s">
        <v>504</v>
      </c>
      <c r="R24" s="1627"/>
      <c r="S24" s="1627"/>
      <c r="T24" s="1628"/>
      <c r="U24" s="313"/>
      <c r="V24" s="313"/>
      <c r="W24" s="317"/>
      <c r="AD24" s="313"/>
      <c r="AV24" s="313"/>
      <c r="BE24" s="313"/>
      <c r="BF24" s="313"/>
    </row>
    <row r="25" spans="1:58" ht="30" customHeight="1" thickBot="1" x14ac:dyDescent="0.25">
      <c r="A25" s="384"/>
      <c r="B25" s="389" t="s">
        <v>118</v>
      </c>
      <c r="C25" s="999" t="s">
        <v>49</v>
      </c>
      <c r="D25" s="390" t="s">
        <v>50</v>
      </c>
      <c r="E25" s="390" t="s">
        <v>317</v>
      </c>
      <c r="F25" s="391">
        <v>15.56</v>
      </c>
      <c r="G25" s="485">
        <v>5</v>
      </c>
      <c r="H25" s="392">
        <v>4.0967700000000002</v>
      </c>
      <c r="I25" s="392">
        <f>H25</f>
        <v>4.0967700000000002</v>
      </c>
      <c r="J25" s="390">
        <v>4.7700000000000001E-5</v>
      </c>
      <c r="K25" s="391">
        <f>(5.49+5.5+5.51)/3</f>
        <v>5.5</v>
      </c>
      <c r="L25" s="393">
        <v>5.0000000000000001E-3</v>
      </c>
      <c r="M25" s="394">
        <v>9.9000000000000001E-6</v>
      </c>
      <c r="Q25" s="1629"/>
      <c r="R25" s="1630"/>
      <c r="S25" s="1630"/>
      <c r="T25" s="1631"/>
      <c r="U25" s="313"/>
      <c r="V25" s="313"/>
      <c r="W25" s="317"/>
      <c r="X25" s="317"/>
      <c r="Y25" s="349"/>
      <c r="Z25" s="349"/>
      <c r="AA25" s="349"/>
      <c r="AB25" s="349"/>
      <c r="AC25" s="349"/>
      <c r="AD25" s="313"/>
      <c r="AV25" s="313"/>
      <c r="BE25" s="313"/>
      <c r="BF25" s="313"/>
    </row>
    <row r="26" spans="1:58" ht="30" customHeight="1" thickBot="1" x14ac:dyDescent="0.25">
      <c r="A26" s="384"/>
      <c r="B26" s="395" t="s">
        <v>119</v>
      </c>
      <c r="C26" s="396" t="s">
        <v>49</v>
      </c>
      <c r="D26" s="1005" t="s">
        <v>14</v>
      </c>
      <c r="E26" s="396" t="s">
        <v>318</v>
      </c>
      <c r="F26" s="399">
        <v>15.56</v>
      </c>
      <c r="G26" s="707">
        <v>5</v>
      </c>
      <c r="H26" s="400">
        <v>8.1935000000000002</v>
      </c>
      <c r="I26" s="396">
        <f>H26</f>
        <v>8.1935000000000002</v>
      </c>
      <c r="J26" s="396">
        <v>4.7700000000000001E-5</v>
      </c>
      <c r="K26" s="399">
        <f>(7.29+7.26+7.25)/3</f>
        <v>7.2666666666666666</v>
      </c>
      <c r="L26" s="401">
        <v>5.0000000000000001E-3</v>
      </c>
      <c r="M26" s="402">
        <f>M25</f>
        <v>9.9000000000000001E-6</v>
      </c>
      <c r="Q26" s="821"/>
      <c r="R26" s="818" t="s">
        <v>1</v>
      </c>
      <c r="S26" s="818" t="s">
        <v>379</v>
      </c>
      <c r="T26" s="819" t="s">
        <v>12</v>
      </c>
      <c r="U26" s="313"/>
      <c r="X26" s="317"/>
      <c r="Y26" s="349"/>
      <c r="Z26" s="349"/>
      <c r="AA26" s="349"/>
      <c r="AB26" s="349"/>
      <c r="AC26" s="349"/>
      <c r="AD26" s="313"/>
      <c r="AV26" s="313"/>
      <c r="BE26" s="313"/>
      <c r="BF26" s="313"/>
    </row>
    <row r="27" spans="1:58" ht="38.1" customHeight="1" thickBot="1" x14ac:dyDescent="0.25">
      <c r="A27" s="384"/>
      <c r="B27" s="313"/>
      <c r="C27" s="334"/>
      <c r="D27" s="334"/>
      <c r="E27" s="334"/>
      <c r="F27" s="334"/>
      <c r="G27" s="334"/>
      <c r="H27" s="334"/>
      <c r="I27" s="334"/>
      <c r="J27" s="334"/>
      <c r="K27" s="383"/>
      <c r="L27" s="334"/>
      <c r="M27" s="334"/>
      <c r="N27" s="334"/>
      <c r="O27" s="320"/>
      <c r="P27" s="320"/>
      <c r="Q27" s="815" t="s">
        <v>505</v>
      </c>
      <c r="R27" s="820">
        <f>'RT03-F33 &amp; '!P65</f>
        <v>0</v>
      </c>
      <c r="S27" s="816">
        <f>'RT03-F33 &amp; '!P66</f>
        <v>0</v>
      </c>
      <c r="T27" s="817">
        <f>'RT03-F33 &amp; '!P67</f>
        <v>0</v>
      </c>
      <c r="X27" s="317"/>
      <c r="AB27" s="349"/>
      <c r="AC27" s="349"/>
      <c r="AD27" s="313"/>
      <c r="AV27" s="313"/>
      <c r="BE27" s="313"/>
      <c r="BF27" s="313"/>
    </row>
    <row r="28" spans="1:58" ht="50.45" customHeight="1" thickBot="1" x14ac:dyDescent="0.25">
      <c r="A28" s="384"/>
      <c r="B28" s="1480" t="s">
        <v>242</v>
      </c>
      <c r="C28" s="1508"/>
      <c r="D28" s="1508"/>
      <c r="E28" s="1508"/>
      <c r="F28" s="1508"/>
      <c r="G28" s="1508"/>
      <c r="H28" s="1508"/>
      <c r="I28" s="1508"/>
      <c r="J28" s="1508"/>
      <c r="K28" s="1508"/>
      <c r="L28" s="1508"/>
      <c r="M28" s="1508"/>
      <c r="N28" s="1508"/>
      <c r="O28" s="1509"/>
      <c r="Q28" s="814" t="s">
        <v>506</v>
      </c>
      <c r="R28" s="822" t="e">
        <f>#REF!</f>
        <v>#REF!</v>
      </c>
      <c r="S28" s="823" t="e">
        <f>#REF!</f>
        <v>#REF!</v>
      </c>
      <c r="T28" s="824" t="e">
        <f>#REF!</f>
        <v>#REF!</v>
      </c>
      <c r="U28" s="433"/>
      <c r="V28" s="433"/>
      <c r="X28" s="317"/>
      <c r="AB28" s="349"/>
      <c r="AC28" s="349"/>
      <c r="AD28" s="313"/>
      <c r="AV28" s="313"/>
    </row>
    <row r="29" spans="1:58" ht="60" customHeight="1" thickBot="1" x14ac:dyDescent="0.25">
      <c r="A29" s="384"/>
      <c r="B29" s="1569" t="s">
        <v>276</v>
      </c>
      <c r="C29" s="311" t="s">
        <v>275</v>
      </c>
      <c r="D29" s="89" t="s">
        <v>26</v>
      </c>
      <c r="E29" s="89" t="s">
        <v>164</v>
      </c>
      <c r="F29" s="89" t="s">
        <v>163</v>
      </c>
      <c r="G29" s="89" t="s">
        <v>101</v>
      </c>
      <c r="H29" s="89" t="s">
        <v>135</v>
      </c>
      <c r="I29" s="89" t="s">
        <v>99</v>
      </c>
      <c r="J29" s="89" t="s">
        <v>136</v>
      </c>
      <c r="K29" s="403" t="s">
        <v>100</v>
      </c>
      <c r="L29" s="89" t="s">
        <v>174</v>
      </c>
      <c r="M29" s="89" t="s">
        <v>376</v>
      </c>
      <c r="N29" s="89" t="s">
        <v>377</v>
      </c>
      <c r="O29" s="404" t="s">
        <v>365</v>
      </c>
      <c r="R29" s="320"/>
      <c r="S29" s="405"/>
      <c r="T29" s="405"/>
      <c r="U29" s="405"/>
      <c r="V29" s="366"/>
      <c r="X29" s="317"/>
      <c r="AB29" s="349"/>
      <c r="AC29" s="349"/>
      <c r="AD29" s="313"/>
      <c r="AV29" s="313"/>
    </row>
    <row r="30" spans="1:58" ht="30" customHeight="1" thickBot="1" x14ac:dyDescent="0.25">
      <c r="A30" s="384"/>
      <c r="B30" s="1511"/>
      <c r="C30" s="750"/>
      <c r="D30" s="751"/>
      <c r="E30" s="534"/>
      <c r="F30" s="534"/>
      <c r="G30" s="534"/>
      <c r="H30" s="534"/>
      <c r="I30" s="534"/>
      <c r="J30" s="534"/>
      <c r="K30" s="752"/>
      <c r="L30" s="751"/>
      <c r="M30" s="751"/>
      <c r="N30" s="753"/>
      <c r="O30" s="754"/>
      <c r="Q30" s="320"/>
      <c r="R30" s="320"/>
      <c r="S30" s="1479"/>
      <c r="T30" s="1571"/>
      <c r="U30" s="409"/>
      <c r="V30" s="1607"/>
      <c r="X30" s="317"/>
      <c r="AV30" s="313"/>
    </row>
    <row r="31" spans="1:58" ht="30" customHeight="1" x14ac:dyDescent="0.2">
      <c r="A31" s="384"/>
      <c r="B31" s="1570"/>
      <c r="C31" s="410" t="str">
        <f>B25</f>
        <v>V-005</v>
      </c>
      <c r="D31" s="390" t="str">
        <f>C25</f>
        <v>Serhapin test Measure</v>
      </c>
      <c r="E31" s="390" t="str">
        <f>E25</f>
        <v xml:space="preserve">16-5935702    C-I V-005         </v>
      </c>
      <c r="F31" s="745">
        <v>18925.5</v>
      </c>
      <c r="G31" s="392">
        <f>H25</f>
        <v>4.0967700000000002</v>
      </c>
      <c r="H31" s="740">
        <f>'RT03-F33 &amp; '!M58-'DATOS &amp;'!F31</f>
        <v>-18925.5</v>
      </c>
      <c r="I31" s="636">
        <v>2.2000000000000002</v>
      </c>
      <c r="J31" s="740">
        <v>2.0499999999999998</v>
      </c>
      <c r="K31" s="624">
        <v>44182</v>
      </c>
      <c r="L31" s="742" t="s">
        <v>492</v>
      </c>
      <c r="M31" s="743">
        <f>F31/1000</f>
        <v>18.9255</v>
      </c>
      <c r="N31" s="412">
        <v>18.926469999999998</v>
      </c>
      <c r="O31" s="741">
        <f>(M31-N31)*1000</f>
        <v>-0.96999999999880515</v>
      </c>
      <c r="Q31" s="320"/>
      <c r="R31" s="320"/>
      <c r="S31" s="1479"/>
      <c r="T31" s="1571"/>
      <c r="U31" s="413"/>
      <c r="V31" s="1607"/>
      <c r="AV31" s="313"/>
      <c r="BF31" s="414"/>
    </row>
    <row r="32" spans="1:58" ht="30" customHeight="1" thickBot="1" x14ac:dyDescent="0.25">
      <c r="A32" s="384"/>
      <c r="B32" s="1570"/>
      <c r="C32" s="415" t="str">
        <f>B26</f>
        <v>V-001</v>
      </c>
      <c r="D32" s="396" t="str">
        <f>C26</f>
        <v>Serhapin test Measure</v>
      </c>
      <c r="E32" s="396" t="str">
        <f>E26</f>
        <v>14-92812 C-I V-001</v>
      </c>
      <c r="F32" s="744">
        <v>18933.8737416</v>
      </c>
      <c r="G32" s="400">
        <f>H26</f>
        <v>8.1935000000000002</v>
      </c>
      <c r="H32" s="649">
        <f>'RT03-F33 &amp; '!M59-'DATOS &amp;'!F32</f>
        <v>-18933.8737416</v>
      </c>
      <c r="I32" s="649">
        <v>3.03</v>
      </c>
      <c r="J32" s="744">
        <v>2.0169999999999999</v>
      </c>
      <c r="K32" s="626">
        <v>44140</v>
      </c>
      <c r="L32" s="748" t="s">
        <v>493</v>
      </c>
      <c r="M32" s="747">
        <f>F32/1000</f>
        <v>18.933873741599999</v>
      </c>
      <c r="N32" s="431">
        <v>18.933039999999998</v>
      </c>
      <c r="O32" s="749">
        <f>(M32-N32)*1000</f>
        <v>0.8337416000010478</v>
      </c>
      <c r="Q32" s="320"/>
      <c r="R32" s="320"/>
      <c r="S32" s="1571"/>
      <c r="T32" s="1571"/>
      <c r="U32" s="1571"/>
      <c r="V32" s="1571"/>
      <c r="AV32" s="313"/>
    </row>
    <row r="33" spans="1:58" ht="30" customHeight="1" x14ac:dyDescent="0.2">
      <c r="A33" s="384"/>
      <c r="B33" s="417"/>
      <c r="C33" s="376"/>
      <c r="D33" s="313"/>
      <c r="E33" s="376"/>
      <c r="F33" s="376"/>
      <c r="G33" s="376"/>
      <c r="H33" s="418"/>
      <c r="I33" s="376"/>
      <c r="J33" s="376"/>
      <c r="K33" s="746"/>
      <c r="L33" s="313"/>
      <c r="M33" s="334"/>
      <c r="N33" s="334"/>
      <c r="Q33" s="320"/>
      <c r="R33" s="320"/>
      <c r="S33" s="366"/>
      <c r="T33" s="419"/>
      <c r="U33" s="366"/>
      <c r="V33" s="366"/>
      <c r="AV33" s="313"/>
      <c r="BF33" s="335"/>
    </row>
    <row r="34" spans="1:58" ht="30" customHeight="1" thickBot="1" x14ac:dyDescent="0.25">
      <c r="A34" s="384"/>
      <c r="B34" s="313"/>
      <c r="C34" s="313"/>
      <c r="D34" s="313"/>
      <c r="E34" s="313"/>
      <c r="F34" s="313"/>
      <c r="G34" s="313"/>
      <c r="H34" s="313"/>
      <c r="I34" s="313"/>
      <c r="J34" s="313"/>
      <c r="K34" s="386"/>
      <c r="L34" s="313"/>
      <c r="M34" s="334"/>
      <c r="N34" s="334"/>
      <c r="Q34" s="320"/>
      <c r="R34" s="320"/>
      <c r="S34" s="366"/>
      <c r="T34" s="366"/>
      <c r="U34" s="366"/>
      <c r="V34" s="366"/>
      <c r="AV34" s="313"/>
      <c r="BF34" s="335"/>
    </row>
    <row r="35" spans="1:58" ht="30" customHeight="1" thickBot="1" x14ac:dyDescent="0.25">
      <c r="A35" s="384"/>
      <c r="B35" s="1494" t="s">
        <v>111</v>
      </c>
      <c r="C35" s="1495"/>
      <c r="D35" s="1495"/>
      <c r="E35" s="1495"/>
      <c r="F35" s="1495"/>
      <c r="G35" s="1495"/>
      <c r="H35" s="1495"/>
      <c r="I35" s="1495"/>
      <c r="J35" s="1495"/>
      <c r="K35" s="1495"/>
      <c r="L35" s="1495"/>
      <c r="M35" s="1495"/>
      <c r="N35" s="1495"/>
      <c r="O35" s="1495"/>
      <c r="P35" s="1495"/>
      <c r="Q35" s="1495"/>
      <c r="R35" s="1496"/>
      <c r="AV35" s="313"/>
      <c r="BF35" s="335"/>
    </row>
    <row r="36" spans="1:58" ht="60" customHeight="1" thickBot="1" x14ac:dyDescent="0.25">
      <c r="A36" s="384"/>
      <c r="B36" s="313"/>
      <c r="C36" s="376"/>
      <c r="D36" s="420" t="s">
        <v>26</v>
      </c>
      <c r="E36" s="307" t="s">
        <v>164</v>
      </c>
      <c r="F36" s="307" t="s">
        <v>384</v>
      </c>
      <c r="G36" s="307" t="s">
        <v>101</v>
      </c>
      <c r="H36" s="307" t="s">
        <v>135</v>
      </c>
      <c r="I36" s="307" t="s">
        <v>99</v>
      </c>
      <c r="J36" s="307" t="s">
        <v>136</v>
      </c>
      <c r="K36" s="421" t="s">
        <v>100</v>
      </c>
      <c r="L36" s="307" t="s">
        <v>174</v>
      </c>
      <c r="M36" s="307" t="s">
        <v>354</v>
      </c>
      <c r="N36" s="307" t="s">
        <v>355</v>
      </c>
      <c r="O36" s="307" t="s">
        <v>385</v>
      </c>
      <c r="P36" s="307" t="s">
        <v>348</v>
      </c>
      <c r="Q36" s="307" t="s">
        <v>349</v>
      </c>
      <c r="R36" s="422" t="s">
        <v>350</v>
      </c>
      <c r="AV36" s="313"/>
      <c r="BF36" s="335"/>
    </row>
    <row r="37" spans="1:58" ht="45" customHeight="1" thickBot="1" x14ac:dyDescent="0.25">
      <c r="A37" s="384"/>
      <c r="B37" s="313"/>
      <c r="C37" s="313"/>
      <c r="D37" s="376"/>
      <c r="E37" s="376"/>
      <c r="F37" s="376"/>
      <c r="G37" s="376"/>
      <c r="H37" s="376"/>
      <c r="I37" s="376"/>
      <c r="J37" s="376"/>
      <c r="K37" s="423"/>
      <c r="L37" s="313"/>
      <c r="M37" s="334"/>
      <c r="N37" s="334"/>
      <c r="AV37" s="313"/>
      <c r="BF37" s="335"/>
    </row>
    <row r="38" spans="1:58" ht="33.950000000000003" customHeight="1" x14ac:dyDescent="0.2">
      <c r="A38" s="384"/>
      <c r="B38" s="1465" t="s">
        <v>277</v>
      </c>
      <c r="C38" s="484" t="s">
        <v>192</v>
      </c>
      <c r="D38" s="1497" t="s">
        <v>173</v>
      </c>
      <c r="E38" s="552" t="s">
        <v>120</v>
      </c>
      <c r="F38" s="435">
        <v>14.068</v>
      </c>
      <c r="G38" s="392">
        <v>1E-3</v>
      </c>
      <c r="H38" s="412">
        <v>-5.3999999999999999E-2</v>
      </c>
      <c r="I38" s="412">
        <v>4.3999999999999997E-2</v>
      </c>
      <c r="J38" s="411">
        <v>2</v>
      </c>
      <c r="K38" s="624">
        <v>43927</v>
      </c>
      <c r="L38" s="1572" t="s">
        <v>462</v>
      </c>
      <c r="M38" s="553">
        <f>SLOPE($H$38:$H$42,$F$38:$F$42)</f>
        <v>-1.6417733121688095E-3</v>
      </c>
      <c r="N38" s="425">
        <f>INTERCEPT($H$38:$H$42,$F$38:$F$42)</f>
        <v>-3.0920518719047937E-2</v>
      </c>
      <c r="O38" s="390">
        <v>14</v>
      </c>
      <c r="P38" s="435">
        <f>F38</f>
        <v>14.068</v>
      </c>
      <c r="Q38" s="412">
        <v>14.064</v>
      </c>
      <c r="R38" s="426">
        <f>P38-Q38</f>
        <v>3.9999999999995595E-3</v>
      </c>
      <c r="AV38" s="313"/>
      <c r="BF38" s="335"/>
    </row>
    <row r="39" spans="1:58" ht="33.950000000000003" customHeight="1" thickBot="1" x14ac:dyDescent="0.25">
      <c r="A39" s="384"/>
      <c r="B39" s="1466"/>
      <c r="C39" s="493" t="s">
        <v>193</v>
      </c>
      <c r="D39" s="1498"/>
      <c r="E39" s="548" t="s">
        <v>120</v>
      </c>
      <c r="F39" s="436">
        <v>16.07</v>
      </c>
      <c r="G39" s="337">
        <v>1E-3</v>
      </c>
      <c r="H39" s="429">
        <v>-5.7000000000000002E-2</v>
      </c>
      <c r="I39" s="429">
        <v>4.3999999999999997E-2</v>
      </c>
      <c r="J39" s="428">
        <v>2</v>
      </c>
      <c r="K39" s="625">
        <v>43927</v>
      </c>
      <c r="L39" s="1573"/>
      <c r="M39" s="549">
        <f>SLOPE($H$38:$H$42,$F$38:$F$42)</f>
        <v>-1.6417733121688095E-3</v>
      </c>
      <c r="N39" s="427">
        <f>INTERCEPT($H$38:$H$42,$F$38:$F$42)</f>
        <v>-3.0920518719047937E-2</v>
      </c>
      <c r="O39" s="339">
        <v>16</v>
      </c>
      <c r="P39" s="436">
        <f>F39</f>
        <v>16.07</v>
      </c>
      <c r="Q39" s="429">
        <v>16.068000000000001</v>
      </c>
      <c r="R39" s="430">
        <f>P39-Q39</f>
        <v>1.9999999999988916E-3</v>
      </c>
      <c r="AV39" s="313"/>
      <c r="BF39" s="335"/>
    </row>
    <row r="40" spans="1:58" ht="33.950000000000003" customHeight="1" thickBot="1" x14ac:dyDescent="0.25">
      <c r="A40" s="558" t="s">
        <v>235</v>
      </c>
      <c r="B40" s="1466"/>
      <c r="C40" s="493" t="s">
        <v>194</v>
      </c>
      <c r="D40" s="1498"/>
      <c r="E40" s="548" t="s">
        <v>120</v>
      </c>
      <c r="F40" s="436">
        <v>17.068999999999999</v>
      </c>
      <c r="G40" s="337">
        <v>1E-3</v>
      </c>
      <c r="H40" s="429">
        <v>-5.8999999999999997E-2</v>
      </c>
      <c r="I40" s="429">
        <v>4.3999999999999997E-2</v>
      </c>
      <c r="J40" s="428">
        <v>2</v>
      </c>
      <c r="K40" s="625">
        <v>43927</v>
      </c>
      <c r="L40" s="1573"/>
      <c r="M40" s="550">
        <f>SLOPE($H$38:$H$42,$F$38:$F$42)</f>
        <v>-1.6417733121688095E-3</v>
      </c>
      <c r="N40" s="551">
        <f>INTERCEPT($H$38:$H$42,$F$38:$F$42)</f>
        <v>-3.0920518719047937E-2</v>
      </c>
      <c r="O40" s="337">
        <v>17</v>
      </c>
      <c r="P40" s="436">
        <f>F40</f>
        <v>17.068999999999999</v>
      </c>
      <c r="Q40" s="429">
        <v>17.065000000000001</v>
      </c>
      <c r="R40" s="430">
        <f>P40-Q40</f>
        <v>3.9999999999977831E-3</v>
      </c>
      <c r="AV40" s="313"/>
    </row>
    <row r="41" spans="1:58" ht="33.950000000000003" customHeight="1" x14ac:dyDescent="0.2">
      <c r="A41" s="384"/>
      <c r="B41" s="1466"/>
      <c r="C41" s="493" t="s">
        <v>232</v>
      </c>
      <c r="D41" s="1498"/>
      <c r="E41" s="548" t="s">
        <v>120</v>
      </c>
      <c r="F41" s="429">
        <v>18.065999999999999</v>
      </c>
      <c r="G41" s="337">
        <v>1E-3</v>
      </c>
      <c r="H41" s="429">
        <v>-6.0999999999999999E-2</v>
      </c>
      <c r="I41" s="429">
        <v>4.3999999999999997E-2</v>
      </c>
      <c r="J41" s="428">
        <v>2</v>
      </c>
      <c r="K41" s="625">
        <v>43927</v>
      </c>
      <c r="L41" s="1573"/>
      <c r="M41" s="549">
        <f>SLOPE($H$38:$H$42,$F$38:$F$42)</f>
        <v>-1.6417733121688095E-3</v>
      </c>
      <c r="N41" s="427">
        <f>INTERCEPT($H$38:$H$42,$F$38:$F$42)</f>
        <v>-3.0920518719047937E-2</v>
      </c>
      <c r="O41" s="337">
        <v>18</v>
      </c>
      <c r="P41" s="436">
        <f>F41</f>
        <v>18.065999999999999</v>
      </c>
      <c r="Q41" s="429">
        <v>18.064</v>
      </c>
      <c r="R41" s="430">
        <f>P41-Q41</f>
        <v>1.9999999999988916E-3</v>
      </c>
      <c r="AB41" s="349"/>
      <c r="AC41" s="349"/>
      <c r="AD41" s="313"/>
      <c r="AV41" s="313"/>
    </row>
    <row r="42" spans="1:58" ht="33.950000000000003" customHeight="1" thickBot="1" x14ac:dyDescent="0.25">
      <c r="A42" s="384"/>
      <c r="B42" s="1467"/>
      <c r="C42" s="507" t="s">
        <v>233</v>
      </c>
      <c r="D42" s="1499"/>
      <c r="E42" s="554" t="s">
        <v>120</v>
      </c>
      <c r="F42" s="431">
        <v>22.07</v>
      </c>
      <c r="G42" s="400">
        <v>1E-3</v>
      </c>
      <c r="H42" s="431">
        <v>-6.7000000000000004E-2</v>
      </c>
      <c r="I42" s="431">
        <v>4.3999999999999997E-2</v>
      </c>
      <c r="J42" s="416">
        <v>2</v>
      </c>
      <c r="K42" s="626">
        <v>43927</v>
      </c>
      <c r="L42" s="1574"/>
      <c r="M42" s="555">
        <f>SLOPE($H$38:$H$42,$F$38:$F$42)</f>
        <v>-1.6417733121688095E-3</v>
      </c>
      <c r="N42" s="556">
        <f>INTERCEPT($H$38:$H$42,$F$38:$F$42)</f>
        <v>-3.0920518719047937E-2</v>
      </c>
      <c r="O42" s="400">
        <v>22</v>
      </c>
      <c r="P42" s="557">
        <f>F42</f>
        <v>22.07</v>
      </c>
      <c r="Q42" s="431">
        <v>22.067</v>
      </c>
      <c r="R42" s="432">
        <f>P42-Q42</f>
        <v>3.0000000000001137E-3</v>
      </c>
      <c r="S42" s="334"/>
      <c r="T42" s="433"/>
      <c r="U42" s="433"/>
      <c r="V42" s="433"/>
      <c r="AB42" s="349"/>
      <c r="AC42" s="349"/>
      <c r="AD42" s="313"/>
      <c r="AV42" s="313"/>
    </row>
    <row r="43" spans="1:58" ht="42" customHeight="1" thickBot="1" x14ac:dyDescent="0.25">
      <c r="A43" s="384"/>
      <c r="B43" s="381"/>
      <c r="C43" s="376"/>
      <c r="D43" s="313"/>
      <c r="E43" s="560"/>
      <c r="F43" s="561"/>
      <c r="G43" s="376"/>
      <c r="H43" s="376"/>
      <c r="I43" s="376"/>
      <c r="J43" s="376"/>
      <c r="K43" s="423"/>
      <c r="L43" s="366"/>
      <c r="M43" s="366"/>
      <c r="N43" s="366"/>
      <c r="O43" s="313"/>
      <c r="P43" s="313"/>
      <c r="Q43" s="313"/>
      <c r="R43" s="540"/>
      <c r="S43" s="405"/>
      <c r="T43" s="405"/>
      <c r="U43" s="405"/>
      <c r="V43" s="366"/>
      <c r="W43" s="317"/>
      <c r="AB43" s="349"/>
      <c r="AC43" s="349"/>
      <c r="AD43" s="313"/>
      <c r="AV43" s="313"/>
    </row>
    <row r="44" spans="1:58" ht="33.950000000000003" customHeight="1" x14ac:dyDescent="0.2">
      <c r="A44" s="384"/>
      <c r="B44" s="1582" t="s">
        <v>278</v>
      </c>
      <c r="C44" s="999" t="s">
        <v>388</v>
      </c>
      <c r="D44" s="1497" t="s">
        <v>173</v>
      </c>
      <c r="E44" s="552" t="s">
        <v>121</v>
      </c>
      <c r="F44" s="435">
        <v>14.031000000000001</v>
      </c>
      <c r="G44" s="392">
        <v>1E-3</v>
      </c>
      <c r="H44" s="412">
        <v>-1.7000000000000001E-2</v>
      </c>
      <c r="I44" s="412">
        <v>4.3999999999999997E-2</v>
      </c>
      <c r="J44" s="411">
        <v>2</v>
      </c>
      <c r="K44" s="624">
        <v>43927</v>
      </c>
      <c r="L44" s="1572" t="s">
        <v>463</v>
      </c>
      <c r="M44" s="553">
        <f>SLOPE($H$44:$H$48,$F$44:$F$48)</f>
        <v>-1.2274789092155522E-3</v>
      </c>
      <c r="N44" s="553">
        <f>INTERCEPT($H$44:$H$48,$F$44:$F$48)</f>
        <v>-3.8151334637095968E-6</v>
      </c>
      <c r="O44" s="390">
        <v>14</v>
      </c>
      <c r="P44" s="435">
        <f>F44</f>
        <v>14.031000000000001</v>
      </c>
      <c r="Q44" s="435">
        <v>14.028</v>
      </c>
      <c r="R44" s="426">
        <f>P44-Q44</f>
        <v>3.0000000000001137E-3</v>
      </c>
      <c r="W44" s="317"/>
      <c r="AB44" s="349"/>
      <c r="AC44" s="349"/>
      <c r="AD44" s="313"/>
      <c r="AV44" s="313"/>
    </row>
    <row r="45" spans="1:58" ht="33.950000000000003" customHeight="1" thickBot="1" x14ac:dyDescent="0.25">
      <c r="A45" s="384"/>
      <c r="B45" s="1583"/>
      <c r="C45" s="339" t="s">
        <v>389</v>
      </c>
      <c r="D45" s="1498"/>
      <c r="E45" s="548" t="s">
        <v>121</v>
      </c>
      <c r="F45" s="436">
        <v>16.033000000000001</v>
      </c>
      <c r="G45" s="337">
        <v>1E-3</v>
      </c>
      <c r="H45" s="436">
        <v>-0.02</v>
      </c>
      <c r="I45" s="429">
        <v>4.3999999999999997E-2</v>
      </c>
      <c r="J45" s="428">
        <v>2</v>
      </c>
      <c r="K45" s="625">
        <v>43927</v>
      </c>
      <c r="L45" s="1573"/>
      <c r="M45" s="549">
        <f>SLOPE($H$44:$H$48,$F$44:$F$48)</f>
        <v>-1.2274789092155522E-3</v>
      </c>
      <c r="N45" s="549">
        <f>INTERCEPT($H$44:$H$48,$F$44:$F$48)</f>
        <v>-3.8151334637095968E-6</v>
      </c>
      <c r="O45" s="339">
        <v>16</v>
      </c>
      <c r="P45" s="436">
        <f>F45</f>
        <v>16.033000000000001</v>
      </c>
      <c r="Q45" s="436">
        <v>16.03</v>
      </c>
      <c r="R45" s="430">
        <f>P45-Q45</f>
        <v>3.0000000000001137E-3</v>
      </c>
      <c r="W45" s="317"/>
      <c r="AB45" s="349"/>
      <c r="AC45" s="349"/>
      <c r="AD45" s="313"/>
      <c r="AV45" s="313"/>
    </row>
    <row r="46" spans="1:58" ht="33.950000000000003" customHeight="1" thickBot="1" x14ac:dyDescent="0.25">
      <c r="A46" s="559" t="s">
        <v>234</v>
      </c>
      <c r="B46" s="1583"/>
      <c r="C46" s="339" t="s">
        <v>390</v>
      </c>
      <c r="D46" s="1498"/>
      <c r="E46" s="548" t="s">
        <v>121</v>
      </c>
      <c r="F46" s="436">
        <v>17.032</v>
      </c>
      <c r="G46" s="337">
        <v>1E-3</v>
      </c>
      <c r="H46" s="436">
        <v>-2.1000000000000001E-2</v>
      </c>
      <c r="I46" s="429">
        <v>4.3999999999999997E-2</v>
      </c>
      <c r="J46" s="428">
        <v>2</v>
      </c>
      <c r="K46" s="625">
        <v>43927</v>
      </c>
      <c r="L46" s="1573"/>
      <c r="M46" s="550">
        <f>SLOPE($H$44:$H$48,$F$44:$F$48)</f>
        <v>-1.2274789092155522E-3</v>
      </c>
      <c r="N46" s="550">
        <f>INTERCEPT($H$44:$H$48,$F$44:$F$48)</f>
        <v>-3.8151334637095968E-6</v>
      </c>
      <c r="O46" s="337">
        <v>17</v>
      </c>
      <c r="P46" s="436">
        <f>F46</f>
        <v>17.032</v>
      </c>
      <c r="Q46" s="436">
        <v>17.027999999999999</v>
      </c>
      <c r="R46" s="430">
        <f>P46-Q46</f>
        <v>4.0000000000013358E-3</v>
      </c>
      <c r="W46" s="317"/>
      <c r="AB46" s="349"/>
      <c r="AC46" s="349"/>
      <c r="AD46" s="313"/>
      <c r="AV46" s="313"/>
    </row>
    <row r="47" spans="1:58" ht="33.950000000000003" customHeight="1" x14ac:dyDescent="0.2">
      <c r="A47" s="384"/>
      <c r="B47" s="1583"/>
      <c r="C47" s="339" t="s">
        <v>391</v>
      </c>
      <c r="D47" s="1498"/>
      <c r="E47" s="548" t="s">
        <v>122</v>
      </c>
      <c r="F47" s="429">
        <v>18.027999999999999</v>
      </c>
      <c r="G47" s="337">
        <v>1E-3</v>
      </c>
      <c r="H47" s="429">
        <v>-2.1999999999999999E-2</v>
      </c>
      <c r="I47" s="429">
        <v>4.3999999999999997E-2</v>
      </c>
      <c r="J47" s="428">
        <v>2</v>
      </c>
      <c r="K47" s="625">
        <v>43927</v>
      </c>
      <c r="L47" s="1573"/>
      <c r="M47" s="549">
        <f>SLOPE($H$44:$H$48,$F$44:$F$48)</f>
        <v>-1.2274789092155522E-3</v>
      </c>
      <c r="N47" s="549">
        <f>INTERCEPT($H$44:$H$48,$F$44:$F$48)</f>
        <v>-3.8151334637095968E-6</v>
      </c>
      <c r="O47" s="337">
        <v>18</v>
      </c>
      <c r="P47" s="436">
        <f>F47</f>
        <v>18.027999999999999</v>
      </c>
      <c r="Q47" s="429">
        <v>18.026</v>
      </c>
      <c r="R47" s="430">
        <f>P47-Q47</f>
        <v>1.9999999999988916E-3</v>
      </c>
      <c r="W47" s="317"/>
      <c r="AB47" s="349"/>
      <c r="AC47" s="349"/>
      <c r="AD47" s="313"/>
      <c r="AV47" s="313"/>
    </row>
    <row r="48" spans="1:58" ht="33.950000000000003" customHeight="1" thickBot="1" x14ac:dyDescent="0.25">
      <c r="A48" s="384"/>
      <c r="B48" s="1584"/>
      <c r="C48" s="396" t="s">
        <v>392</v>
      </c>
      <c r="D48" s="1499"/>
      <c r="E48" s="554" t="s">
        <v>121</v>
      </c>
      <c r="F48" s="431">
        <v>22.030999999999999</v>
      </c>
      <c r="G48" s="400">
        <v>1E-3</v>
      </c>
      <c r="H48" s="431">
        <v>-2.7E-2</v>
      </c>
      <c r="I48" s="431">
        <v>4.3999999999999997E-2</v>
      </c>
      <c r="J48" s="416">
        <v>2</v>
      </c>
      <c r="K48" s="626">
        <v>43927</v>
      </c>
      <c r="L48" s="1574"/>
      <c r="M48" s="555">
        <f>SLOPE($H$44:$H$48,$F$44:$F$48)</f>
        <v>-1.2274789092155522E-3</v>
      </c>
      <c r="N48" s="555">
        <f>INTERCEPT($H$44:$H$48,$F$44:$F$48)</f>
        <v>-3.8151334637095968E-6</v>
      </c>
      <c r="O48" s="400">
        <v>22</v>
      </c>
      <c r="P48" s="557">
        <f>F48</f>
        <v>22.030999999999999</v>
      </c>
      <c r="Q48" s="431">
        <v>22.027999999999999</v>
      </c>
      <c r="R48" s="432">
        <f>P48-Q48</f>
        <v>3.0000000000001137E-3</v>
      </c>
      <c r="W48" s="349"/>
      <c r="X48" s="317"/>
      <c r="Y48" s="317"/>
      <c r="Z48" s="317"/>
      <c r="AB48" s="349"/>
      <c r="AC48" s="349"/>
      <c r="AD48" s="313"/>
      <c r="AV48" s="313"/>
    </row>
    <row r="49" spans="1:58" ht="30" customHeight="1" x14ac:dyDescent="0.2">
      <c r="A49" s="384"/>
      <c r="H49" s="437"/>
      <c r="Q49" s="348"/>
      <c r="R49" s="349"/>
      <c r="T49" s="433"/>
      <c r="U49" s="366"/>
      <c r="V49" s="366"/>
      <c r="W49" s="349"/>
      <c r="X49" s="317"/>
      <c r="Y49" s="317"/>
      <c r="Z49" s="317"/>
      <c r="AB49" s="349"/>
      <c r="AC49" s="349"/>
      <c r="AD49" s="313"/>
      <c r="AV49" s="313"/>
    </row>
    <row r="50" spans="1:58" ht="30" customHeight="1" thickBot="1" x14ac:dyDescent="0.25">
      <c r="A50" s="384"/>
      <c r="B50" s="313"/>
      <c r="C50" s="313"/>
      <c r="D50" s="313"/>
      <c r="E50" s="313"/>
      <c r="F50" s="313"/>
      <c r="G50" s="313"/>
      <c r="H50" s="313"/>
      <c r="I50" s="313"/>
      <c r="J50" s="313"/>
      <c r="K50" s="386"/>
      <c r="L50" s="313"/>
      <c r="M50" s="334"/>
      <c r="Q50" s="348"/>
      <c r="R50" s="349"/>
      <c r="T50" s="317"/>
      <c r="U50" s="317"/>
      <c r="V50" s="317"/>
      <c r="W50" s="349"/>
      <c r="X50" s="317"/>
      <c r="Y50" s="317"/>
      <c r="Z50" s="317"/>
      <c r="AA50" s="349"/>
      <c r="AB50" s="349"/>
      <c r="AC50" s="349"/>
      <c r="AD50" s="313"/>
      <c r="AV50" s="313"/>
    </row>
    <row r="51" spans="1:58" ht="30" customHeight="1" x14ac:dyDescent="0.2">
      <c r="A51" s="384"/>
      <c r="B51" s="313"/>
      <c r="C51" s="1595" t="s">
        <v>211</v>
      </c>
      <c r="D51" s="1508"/>
      <c r="E51" s="1508"/>
      <c r="F51" s="1508"/>
      <c r="G51" s="1508"/>
      <c r="H51" s="1508"/>
      <c r="I51" s="1508"/>
      <c r="J51" s="1508"/>
      <c r="K51" s="1508"/>
      <c r="L51" s="1508"/>
      <c r="M51" s="1508"/>
      <c r="N51" s="1508"/>
      <c r="O51" s="1508"/>
      <c r="P51" s="1508"/>
      <c r="Q51" s="1508"/>
      <c r="R51" s="1508"/>
      <c r="S51" s="1508"/>
      <c r="T51" s="1509"/>
      <c r="U51" s="349"/>
      <c r="V51" s="349"/>
      <c r="W51" s="349"/>
      <c r="X51" s="349"/>
      <c r="Y51" s="349"/>
      <c r="Z51" s="349"/>
      <c r="AA51" s="349"/>
      <c r="AB51" s="349"/>
      <c r="AC51" s="349"/>
      <c r="AD51" s="313"/>
      <c r="AV51" s="313"/>
    </row>
    <row r="52" spans="1:58" ht="30" customHeight="1" thickBot="1" x14ac:dyDescent="0.25">
      <c r="A52" s="384"/>
      <c r="B52" s="313"/>
      <c r="C52" s="1596"/>
      <c r="D52" s="1597"/>
      <c r="E52" s="1597"/>
      <c r="F52" s="1597"/>
      <c r="G52" s="1597"/>
      <c r="H52" s="1597"/>
      <c r="I52" s="1597"/>
      <c r="J52" s="1597"/>
      <c r="K52" s="1597"/>
      <c r="L52" s="1597"/>
      <c r="M52" s="1597"/>
      <c r="N52" s="1597"/>
      <c r="O52" s="1597"/>
      <c r="P52" s="1597"/>
      <c r="Q52" s="1597"/>
      <c r="R52" s="1597"/>
      <c r="S52" s="1597"/>
      <c r="T52" s="1598"/>
      <c r="U52" s="349"/>
      <c r="V52" s="349"/>
      <c r="W52" s="349"/>
      <c r="X52" s="349"/>
      <c r="Y52" s="349"/>
      <c r="Z52" s="349"/>
      <c r="AA52" s="349"/>
      <c r="AB52" s="349"/>
      <c r="AC52" s="349"/>
      <c r="AD52" s="313"/>
      <c r="AV52" s="313"/>
    </row>
    <row r="53" spans="1:58" ht="30" customHeight="1" thickBot="1" x14ac:dyDescent="0.25">
      <c r="A53" s="384"/>
      <c r="B53" s="313"/>
      <c r="C53" s="1480" t="s">
        <v>461</v>
      </c>
      <c r="D53" s="1481"/>
      <c r="E53" s="1481"/>
      <c r="F53" s="1481"/>
      <c r="G53" s="1481"/>
      <c r="H53" s="1481"/>
      <c r="I53" s="1481"/>
      <c r="J53" s="1481"/>
      <c r="K53" s="1481"/>
      <c r="L53" s="1481"/>
      <c r="M53" s="1481"/>
      <c r="N53" s="1481"/>
      <c r="O53" s="1481"/>
      <c r="P53" s="1481"/>
      <c r="Q53" s="1481"/>
      <c r="R53" s="1481"/>
      <c r="S53" s="1481"/>
      <c r="T53" s="1482"/>
      <c r="U53" s="349"/>
      <c r="V53" s="349"/>
      <c r="W53" s="349"/>
      <c r="X53" s="349"/>
      <c r="Y53" s="349"/>
      <c r="Z53" s="349"/>
      <c r="AA53" s="349"/>
      <c r="AB53" s="349"/>
      <c r="AC53" s="349"/>
      <c r="AD53" s="313"/>
      <c r="AV53" s="313"/>
      <c r="AW53" s="313"/>
      <c r="AX53" s="313"/>
      <c r="AY53" s="313"/>
      <c r="AZ53" s="313"/>
      <c r="BA53" s="313"/>
      <c r="BB53" s="313"/>
      <c r="BC53" s="313"/>
      <c r="BD53" s="313"/>
      <c r="BE53" s="313"/>
      <c r="BF53" s="313"/>
    </row>
    <row r="54" spans="1:58" ht="54" customHeight="1" thickBot="1" x14ac:dyDescent="0.25">
      <c r="A54" s="384"/>
      <c r="B54" s="313"/>
      <c r="C54" s="376"/>
      <c r="D54" s="438" t="s">
        <v>26</v>
      </c>
      <c r="E54" s="439" t="s">
        <v>164</v>
      </c>
      <c r="F54" s="438" t="s">
        <v>384</v>
      </c>
      <c r="G54" s="438" t="s">
        <v>101</v>
      </c>
      <c r="H54" s="438" t="s">
        <v>135</v>
      </c>
      <c r="I54" s="438" t="s">
        <v>99</v>
      </c>
      <c r="J54" s="438" t="s">
        <v>136</v>
      </c>
      <c r="K54" s="440" t="s">
        <v>100</v>
      </c>
      <c r="L54" s="441" t="s">
        <v>174</v>
      </c>
      <c r="M54" s="334"/>
      <c r="N54" s="334"/>
      <c r="O54" s="1585" t="s">
        <v>213</v>
      </c>
      <c r="P54" s="1587" t="s">
        <v>99</v>
      </c>
      <c r="Q54" s="1588"/>
      <c r="R54" s="1589"/>
      <c r="S54" s="1593" t="s">
        <v>100</v>
      </c>
      <c r="T54" s="1576" t="s">
        <v>174</v>
      </c>
      <c r="U54" s="349"/>
      <c r="V54" s="349"/>
      <c r="W54" s="349"/>
      <c r="X54" s="349"/>
      <c r="Y54" s="349"/>
      <c r="Z54" s="349"/>
      <c r="AA54" s="349"/>
      <c r="AB54" s="349"/>
      <c r="AC54" s="349"/>
      <c r="AD54" s="313"/>
      <c r="AV54" s="313"/>
      <c r="AW54" s="313"/>
      <c r="AX54" s="313"/>
      <c r="AY54" s="313"/>
      <c r="AZ54" s="313"/>
      <c r="BA54" s="313"/>
      <c r="BB54" s="313"/>
      <c r="BC54" s="313"/>
      <c r="BD54" s="313"/>
      <c r="BE54" s="313"/>
      <c r="BF54" s="313"/>
    </row>
    <row r="55" spans="1:58" ht="30" customHeight="1" thickBot="1" x14ac:dyDescent="0.25">
      <c r="A55" s="442"/>
      <c r="B55" s="443"/>
      <c r="C55" s="443"/>
      <c r="D55" s="443"/>
      <c r="E55" s="444"/>
      <c r="F55" s="444"/>
      <c r="G55" s="444"/>
      <c r="H55" s="444"/>
      <c r="I55" s="444"/>
      <c r="J55" s="450"/>
      <c r="K55" s="445"/>
      <c r="L55" s="446"/>
      <c r="M55" s="334"/>
      <c r="N55" s="334"/>
      <c r="O55" s="1586"/>
      <c r="P55" s="1590"/>
      <c r="Q55" s="1591"/>
      <c r="R55" s="1592"/>
      <c r="S55" s="1594"/>
      <c r="T55" s="1577"/>
      <c r="U55" s="349"/>
      <c r="V55" s="349"/>
      <c r="W55" s="349"/>
      <c r="X55" s="349"/>
      <c r="Y55" s="349"/>
      <c r="Z55" s="349"/>
      <c r="AA55" s="349"/>
      <c r="AB55" s="349"/>
      <c r="AC55" s="349"/>
      <c r="AD55" s="313"/>
      <c r="AV55" s="313"/>
      <c r="AW55" s="313"/>
      <c r="AX55" s="313"/>
      <c r="AY55" s="313"/>
      <c r="AZ55" s="313"/>
      <c r="BA55" s="313"/>
      <c r="BB55" s="313"/>
      <c r="BC55" s="313"/>
      <c r="BD55" s="313"/>
      <c r="BE55" s="313"/>
      <c r="BF55" s="313"/>
    </row>
    <row r="56" spans="1:58" ht="30" customHeight="1" thickBot="1" x14ac:dyDescent="0.25">
      <c r="A56" s="1535" t="s">
        <v>17</v>
      </c>
      <c r="B56" s="1578"/>
      <c r="C56" s="1041" t="s">
        <v>539</v>
      </c>
      <c r="D56" s="1036" t="s">
        <v>169</v>
      </c>
      <c r="E56" s="1037" t="s">
        <v>313</v>
      </c>
      <c r="F56" s="635">
        <v>15.3</v>
      </c>
      <c r="G56" s="412">
        <v>0.1</v>
      </c>
      <c r="H56" s="636">
        <v>0</v>
      </c>
      <c r="I56" s="1040">
        <v>0.3</v>
      </c>
      <c r="J56" s="1042">
        <v>2</v>
      </c>
      <c r="K56" s="1043">
        <v>44019</v>
      </c>
      <c r="L56" s="1561" t="s">
        <v>435</v>
      </c>
      <c r="M56" s="334"/>
      <c r="N56" s="334"/>
      <c r="O56" s="314"/>
      <c r="P56" s="387"/>
      <c r="Q56" s="387"/>
      <c r="R56" s="387"/>
      <c r="S56" s="406"/>
      <c r="T56" s="408"/>
      <c r="U56" s="349"/>
      <c r="V56" s="349"/>
      <c r="W56" s="349"/>
      <c r="X56" s="349"/>
      <c r="Y56" s="349"/>
      <c r="Z56" s="349"/>
      <c r="AA56" s="349"/>
      <c r="AB56" s="349"/>
      <c r="AC56" s="349"/>
      <c r="AD56" s="313"/>
      <c r="AV56" s="313"/>
      <c r="AW56" s="313"/>
      <c r="AX56" s="313"/>
      <c r="AY56" s="313"/>
      <c r="AZ56" s="313"/>
      <c r="BA56" s="313"/>
      <c r="BB56" s="313"/>
      <c r="BC56" s="313"/>
      <c r="BD56" s="313"/>
      <c r="BE56" s="313"/>
      <c r="BF56" s="313"/>
    </row>
    <row r="57" spans="1:58" ht="30" customHeight="1" x14ac:dyDescent="0.2">
      <c r="A57" s="1579"/>
      <c r="B57" s="1578"/>
      <c r="C57" s="1041" t="s">
        <v>540</v>
      </c>
      <c r="D57" s="1036"/>
      <c r="E57" s="1038"/>
      <c r="F57" s="637">
        <v>24.7</v>
      </c>
      <c r="G57" s="638">
        <v>0.1</v>
      </c>
      <c r="H57" s="639">
        <v>0</v>
      </c>
      <c r="I57" s="653">
        <v>0.2</v>
      </c>
      <c r="J57" s="1044">
        <v>2</v>
      </c>
      <c r="K57" s="1043">
        <v>44019</v>
      </c>
      <c r="L57" s="1561"/>
      <c r="M57" s="334"/>
      <c r="N57" s="334"/>
      <c r="O57" s="1523" t="s">
        <v>214</v>
      </c>
      <c r="P57" s="736" t="s">
        <v>1</v>
      </c>
      <c r="Q57" s="737" t="s">
        <v>352</v>
      </c>
      <c r="R57" s="737" t="s">
        <v>12</v>
      </c>
      <c r="S57" s="1503" t="s">
        <v>438</v>
      </c>
      <c r="T57" s="1599" t="s">
        <v>439</v>
      </c>
      <c r="U57" s="349"/>
      <c r="V57" s="349"/>
      <c r="W57" s="349"/>
      <c r="X57" s="349"/>
      <c r="Y57" s="349"/>
      <c r="Z57" s="349"/>
      <c r="AA57" s="349"/>
      <c r="AB57" s="349"/>
      <c r="AC57" s="349"/>
      <c r="AD57" s="313"/>
      <c r="AV57" s="313"/>
      <c r="AW57" s="313"/>
      <c r="AX57" s="313"/>
      <c r="AY57" s="313"/>
      <c r="AZ57" s="313"/>
      <c r="BA57" s="313"/>
      <c r="BB57" s="313"/>
      <c r="BC57" s="313"/>
      <c r="BD57" s="313"/>
      <c r="BE57" s="313"/>
      <c r="BF57" s="313"/>
    </row>
    <row r="58" spans="1:58" ht="30" customHeight="1" thickBot="1" x14ac:dyDescent="0.25">
      <c r="A58" s="1580"/>
      <c r="B58" s="1581"/>
      <c r="C58" s="1041" t="s">
        <v>541</v>
      </c>
      <c r="D58" s="1036"/>
      <c r="E58" s="1038"/>
      <c r="F58" s="641">
        <v>29.5</v>
      </c>
      <c r="G58" s="642">
        <v>0.1</v>
      </c>
      <c r="H58" s="643">
        <v>-0.1</v>
      </c>
      <c r="I58" s="654">
        <v>0.2</v>
      </c>
      <c r="J58" s="1045">
        <v>2</v>
      </c>
      <c r="K58" s="1043">
        <v>44019</v>
      </c>
      <c r="L58" s="1562"/>
      <c r="M58" s="334"/>
      <c r="N58" s="334"/>
      <c r="O58" s="1524"/>
      <c r="P58" s="499">
        <f>MAX(I56:I58)</f>
        <v>0.3</v>
      </c>
      <c r="Q58" s="499">
        <f>MAX(I59:I61)</f>
        <v>1.7</v>
      </c>
      <c r="R58" s="499">
        <f>MAX(I62:I64)</f>
        <v>9.6000000000000002E-2</v>
      </c>
      <c r="S58" s="1501"/>
      <c r="T58" s="1506"/>
      <c r="U58" s="349"/>
      <c r="V58" s="349"/>
      <c r="W58" s="349"/>
      <c r="X58" s="349"/>
      <c r="Y58" s="349"/>
      <c r="Z58" s="349"/>
      <c r="AA58" s="349"/>
      <c r="AB58" s="349"/>
      <c r="AC58" s="349"/>
      <c r="AD58" s="313"/>
      <c r="AV58" s="313"/>
      <c r="AW58" s="313"/>
      <c r="AX58" s="313"/>
      <c r="AY58" s="313"/>
      <c r="AZ58" s="313"/>
      <c r="BA58" s="313"/>
      <c r="BB58" s="313"/>
      <c r="BC58" s="313"/>
      <c r="BD58" s="313"/>
      <c r="BE58" s="313"/>
      <c r="BF58" s="313"/>
    </row>
    <row r="59" spans="1:58" ht="30" customHeight="1" thickBot="1" x14ac:dyDescent="0.25">
      <c r="A59" s="1537" t="s">
        <v>212</v>
      </c>
      <c r="B59" s="1538"/>
      <c r="C59" s="1041" t="s">
        <v>542</v>
      </c>
      <c r="D59" s="1036"/>
      <c r="E59" s="1038"/>
      <c r="F59" s="635">
        <v>33.299999999999997</v>
      </c>
      <c r="G59" s="412">
        <v>0.1</v>
      </c>
      <c r="H59" s="412">
        <v>-3.3</v>
      </c>
      <c r="I59" s="645">
        <v>1.7</v>
      </c>
      <c r="J59" s="1042">
        <v>2</v>
      </c>
      <c r="K59" s="1046">
        <v>44020</v>
      </c>
      <c r="L59" s="1560" t="s">
        <v>436</v>
      </c>
      <c r="M59" s="334"/>
      <c r="N59" s="334"/>
      <c r="O59" s="1525"/>
      <c r="P59" s="730"/>
      <c r="Q59" s="731"/>
      <c r="R59" s="731"/>
      <c r="S59" s="1502"/>
      <c r="T59" s="1518"/>
      <c r="U59" s="349"/>
      <c r="V59" s="349"/>
      <c r="W59" s="349"/>
      <c r="X59" s="349"/>
      <c r="Y59" s="349"/>
      <c r="Z59" s="349"/>
      <c r="AA59" s="349"/>
      <c r="AB59" s="349"/>
      <c r="AC59" s="349"/>
      <c r="AD59" s="313"/>
      <c r="AV59" s="313"/>
      <c r="AW59" s="313"/>
      <c r="AX59" s="313"/>
      <c r="AY59" s="313"/>
      <c r="AZ59" s="313"/>
      <c r="BA59" s="313"/>
      <c r="BB59" s="313"/>
      <c r="BC59" s="313"/>
      <c r="BD59" s="313"/>
      <c r="BE59" s="313"/>
      <c r="BF59" s="313"/>
    </row>
    <row r="60" spans="1:58" ht="30" customHeight="1" x14ac:dyDescent="0.2">
      <c r="A60" s="1535"/>
      <c r="B60" s="1536"/>
      <c r="C60" s="1041" t="s">
        <v>543</v>
      </c>
      <c r="D60" s="1036"/>
      <c r="E60" s="1038"/>
      <c r="F60" s="646">
        <v>51.2</v>
      </c>
      <c r="G60" s="638">
        <v>0.1</v>
      </c>
      <c r="H60" s="647">
        <v>-1.3</v>
      </c>
      <c r="I60" s="640">
        <v>1.7</v>
      </c>
      <c r="J60" s="1044">
        <v>2</v>
      </c>
      <c r="K60" s="1046">
        <v>44020</v>
      </c>
      <c r="L60" s="1561"/>
      <c r="M60" s="334"/>
      <c r="N60" s="334"/>
      <c r="O60" s="447"/>
      <c r="P60" s="313"/>
      <c r="Q60" s="348"/>
      <c r="R60" s="349"/>
      <c r="S60" s="349"/>
      <c r="T60" s="448"/>
      <c r="U60" s="349"/>
      <c r="V60" s="349"/>
      <c r="W60" s="349"/>
      <c r="X60" s="349"/>
      <c r="Y60" s="349"/>
      <c r="Z60" s="349"/>
      <c r="AA60" s="349"/>
      <c r="AB60" s="349"/>
      <c r="AC60" s="349"/>
      <c r="AD60" s="313"/>
      <c r="AV60" s="313"/>
      <c r="AW60" s="313"/>
      <c r="AX60" s="313"/>
      <c r="AY60" s="313"/>
      <c r="AZ60" s="313"/>
      <c r="BA60" s="313"/>
      <c r="BB60" s="313"/>
      <c r="BC60" s="313"/>
      <c r="BD60" s="313"/>
      <c r="BE60" s="313"/>
      <c r="BF60" s="313"/>
    </row>
    <row r="61" spans="1:58" ht="30" customHeight="1" thickBot="1" x14ac:dyDescent="0.25">
      <c r="A61" s="1539"/>
      <c r="B61" s="1540"/>
      <c r="C61" s="1041" t="s">
        <v>544</v>
      </c>
      <c r="D61" s="1036"/>
      <c r="E61" s="1038"/>
      <c r="F61" s="648">
        <v>77.099999999999994</v>
      </c>
      <c r="G61" s="642">
        <v>0.1</v>
      </c>
      <c r="H61" s="649">
        <v>3</v>
      </c>
      <c r="I61" s="644">
        <v>1.7</v>
      </c>
      <c r="J61" s="1045">
        <v>2</v>
      </c>
      <c r="K61" s="1046">
        <v>44020</v>
      </c>
      <c r="L61" s="1562"/>
      <c r="M61" s="334"/>
      <c r="N61" s="334"/>
      <c r="O61" s="447"/>
      <c r="P61" s="313"/>
      <c r="Q61" s="348"/>
      <c r="R61" s="349"/>
      <c r="S61" s="349"/>
      <c r="T61" s="448"/>
      <c r="U61" s="349"/>
      <c r="V61" s="349"/>
      <c r="W61" s="349"/>
      <c r="X61" s="349"/>
      <c r="Y61" s="349"/>
      <c r="Z61" s="349"/>
      <c r="AA61" s="349"/>
      <c r="AB61" s="349"/>
      <c r="AC61" s="349"/>
      <c r="AD61" s="313"/>
      <c r="AV61" s="313"/>
      <c r="AW61" s="313"/>
      <c r="AX61" s="313"/>
      <c r="AY61" s="313"/>
      <c r="AZ61" s="313"/>
      <c r="BA61" s="313"/>
      <c r="BB61" s="313"/>
      <c r="BC61" s="313"/>
      <c r="BD61" s="313"/>
      <c r="BE61" s="313"/>
      <c r="BF61" s="313"/>
    </row>
    <row r="62" spans="1:58" ht="30" customHeight="1" x14ac:dyDescent="0.2">
      <c r="A62" s="1535" t="s">
        <v>56</v>
      </c>
      <c r="B62" s="1536"/>
      <c r="C62" s="1041" t="s">
        <v>545</v>
      </c>
      <c r="D62" s="1036"/>
      <c r="E62" s="1030"/>
      <c r="F62" s="635">
        <v>598.03200000000004</v>
      </c>
      <c r="G62" s="412">
        <v>0.1</v>
      </c>
      <c r="H62" s="435">
        <v>1.534</v>
      </c>
      <c r="I62" s="650">
        <v>0.08</v>
      </c>
      <c r="J62" s="1042">
        <v>2</v>
      </c>
      <c r="K62" s="1046">
        <v>43980</v>
      </c>
      <c r="L62" s="1557" t="s">
        <v>437</v>
      </c>
      <c r="M62" s="334"/>
      <c r="N62" s="334"/>
      <c r="O62" s="447"/>
      <c r="P62" s="313"/>
      <c r="Q62" s="348"/>
      <c r="R62" s="349"/>
      <c r="S62" s="349"/>
      <c r="T62" s="448"/>
      <c r="U62" s="349"/>
      <c r="V62" s="349"/>
      <c r="W62" s="349"/>
      <c r="X62" s="349"/>
      <c r="Y62" s="349"/>
      <c r="Z62" s="349"/>
      <c r="AA62" s="349"/>
      <c r="AB62" s="349"/>
      <c r="AC62" s="349"/>
      <c r="AD62" s="313"/>
      <c r="AV62" s="313"/>
      <c r="AW62" s="313"/>
      <c r="AX62" s="313"/>
      <c r="AY62" s="313"/>
      <c r="AZ62" s="313"/>
      <c r="BA62" s="313"/>
      <c r="BB62" s="313"/>
      <c r="BC62" s="313"/>
      <c r="BD62" s="313"/>
      <c r="BE62" s="313"/>
      <c r="BF62" s="313"/>
    </row>
    <row r="63" spans="1:58" ht="30" customHeight="1" x14ac:dyDescent="0.2">
      <c r="A63" s="1535"/>
      <c r="B63" s="1536"/>
      <c r="C63" s="1041" t="s">
        <v>546</v>
      </c>
      <c r="D63" s="1036"/>
      <c r="E63" s="1030"/>
      <c r="F63" s="637">
        <v>752.71299999999997</v>
      </c>
      <c r="G63" s="429">
        <v>0.1</v>
      </c>
      <c r="H63" s="436">
        <v>1.0549999999999999</v>
      </c>
      <c r="I63" s="640">
        <v>8.4000000000000005E-2</v>
      </c>
      <c r="J63" s="1044">
        <v>2</v>
      </c>
      <c r="K63" s="1046">
        <v>43980</v>
      </c>
      <c r="L63" s="1558"/>
      <c r="M63" s="334"/>
      <c r="N63" s="334"/>
      <c r="O63" s="447"/>
      <c r="P63" s="313"/>
      <c r="Q63" s="348"/>
      <c r="R63" s="349"/>
      <c r="S63" s="349"/>
      <c r="T63" s="448"/>
      <c r="U63" s="349"/>
      <c r="V63" s="349"/>
      <c r="W63" s="349"/>
      <c r="X63" s="349"/>
      <c r="Y63" s="349"/>
      <c r="Z63" s="349"/>
      <c r="AA63" s="349"/>
      <c r="AB63" s="349"/>
      <c r="AC63" s="349"/>
      <c r="AD63" s="313"/>
      <c r="AV63" s="313"/>
      <c r="AW63" s="313"/>
      <c r="AX63" s="313"/>
      <c r="AY63" s="313"/>
      <c r="AZ63" s="313"/>
      <c r="BA63" s="313"/>
      <c r="BB63" s="313"/>
      <c r="BC63" s="313"/>
      <c r="BD63" s="313"/>
      <c r="BE63" s="313"/>
      <c r="BF63" s="313"/>
    </row>
    <row r="64" spans="1:58" ht="30" customHeight="1" thickBot="1" x14ac:dyDescent="0.25">
      <c r="A64" s="1535"/>
      <c r="B64" s="1536"/>
      <c r="C64" s="1041" t="s">
        <v>547</v>
      </c>
      <c r="D64" s="1036"/>
      <c r="E64" s="1030"/>
      <c r="F64" s="641">
        <v>848.5</v>
      </c>
      <c r="G64" s="431">
        <v>0.1</v>
      </c>
      <c r="H64" s="557">
        <v>0.77800000000000002</v>
      </c>
      <c r="I64" s="644">
        <v>9.6000000000000002E-2</v>
      </c>
      <c r="J64" s="1045">
        <v>2</v>
      </c>
      <c r="K64" s="1046">
        <v>43980</v>
      </c>
      <c r="L64" s="1559"/>
      <c r="M64" s="334"/>
      <c r="N64" s="334"/>
      <c r="O64" s="447"/>
      <c r="P64" s="313"/>
      <c r="Q64" s="348"/>
      <c r="R64" s="349"/>
      <c r="S64" s="349"/>
      <c r="T64" s="448"/>
      <c r="U64" s="349"/>
      <c r="V64" s="349"/>
      <c r="W64" s="349"/>
      <c r="X64" s="349"/>
      <c r="Y64" s="349"/>
      <c r="Z64" s="349"/>
      <c r="AA64" s="349"/>
      <c r="AB64" s="349"/>
      <c r="AC64" s="349"/>
      <c r="AD64" s="313"/>
      <c r="AV64" s="313"/>
      <c r="AW64" s="313"/>
      <c r="AX64" s="313"/>
      <c r="AY64" s="313"/>
      <c r="AZ64" s="313"/>
      <c r="BA64" s="313"/>
      <c r="BB64" s="313"/>
      <c r="BC64" s="313"/>
      <c r="BD64" s="313"/>
      <c r="BE64" s="313"/>
      <c r="BF64" s="313"/>
    </row>
    <row r="65" spans="1:58" ht="30" customHeight="1" x14ac:dyDescent="0.2">
      <c r="A65" s="381"/>
      <c r="B65" s="449"/>
      <c r="C65" s="450"/>
      <c r="D65" s="451"/>
      <c r="E65" s="452"/>
      <c r="F65" s="382"/>
      <c r="G65" s="382"/>
      <c r="H65" s="382"/>
      <c r="I65" s="382"/>
      <c r="J65" s="382"/>
      <c r="K65" s="453"/>
      <c r="L65" s="454"/>
      <c r="M65" s="334"/>
      <c r="N65" s="334"/>
      <c r="O65" s="447"/>
      <c r="P65" s="313"/>
      <c r="Q65" s="348"/>
      <c r="R65" s="349"/>
      <c r="S65" s="349"/>
      <c r="T65" s="448"/>
      <c r="U65" s="349"/>
      <c r="V65" s="349"/>
      <c r="W65" s="349"/>
      <c r="X65" s="349"/>
      <c r="Y65" s="349"/>
      <c r="Z65" s="349"/>
      <c r="AA65" s="349"/>
      <c r="AB65" s="349"/>
      <c r="AC65" s="349"/>
      <c r="AD65" s="313"/>
      <c r="AV65" s="313"/>
      <c r="AW65" s="313"/>
      <c r="AX65" s="313"/>
      <c r="AY65" s="313"/>
      <c r="AZ65" s="313"/>
      <c r="BA65" s="313"/>
      <c r="BB65" s="313"/>
      <c r="BC65" s="313"/>
      <c r="BD65" s="313"/>
      <c r="BE65" s="313"/>
      <c r="BF65" s="313"/>
    </row>
    <row r="66" spans="1:58" ht="30" customHeight="1" thickBot="1" x14ac:dyDescent="0.25">
      <c r="A66" s="455"/>
      <c r="B66" s="456"/>
      <c r="C66" s="457"/>
      <c r="D66" s="458"/>
      <c r="E66" s="459"/>
      <c r="F66" s="460"/>
      <c r="G66" s="460"/>
      <c r="H66" s="460"/>
      <c r="I66" s="460"/>
      <c r="J66" s="366"/>
      <c r="K66" s="461"/>
      <c r="L66" s="462"/>
      <c r="M66" s="334"/>
      <c r="N66" s="334"/>
      <c r="O66" s="447"/>
      <c r="P66" s="313"/>
      <c r="Q66" s="348"/>
      <c r="R66" s="349"/>
      <c r="S66" s="349"/>
      <c r="T66" s="448"/>
      <c r="U66" s="349"/>
      <c r="V66" s="349"/>
      <c r="W66" s="349"/>
      <c r="X66" s="349"/>
      <c r="Y66" s="349"/>
      <c r="Z66" s="349"/>
      <c r="AA66" s="349"/>
      <c r="AB66" s="349"/>
      <c r="AC66" s="349"/>
      <c r="AD66" s="313"/>
      <c r="AV66" s="313"/>
      <c r="AW66" s="313"/>
      <c r="AX66" s="313"/>
      <c r="AY66" s="313"/>
      <c r="AZ66" s="313"/>
      <c r="BA66" s="313"/>
      <c r="BB66" s="313"/>
      <c r="BC66" s="313"/>
      <c r="BD66" s="313"/>
      <c r="BE66" s="313"/>
      <c r="BF66" s="313"/>
    </row>
    <row r="67" spans="1:58" ht="30" customHeight="1" thickBot="1" x14ac:dyDescent="0.25">
      <c r="A67" s="1541" t="s">
        <v>17</v>
      </c>
      <c r="B67" s="1542"/>
      <c r="C67" s="1041" t="s">
        <v>548</v>
      </c>
      <c r="D67" s="1027" t="s">
        <v>169</v>
      </c>
      <c r="E67" s="1034" t="s">
        <v>314</v>
      </c>
      <c r="F67" s="651">
        <v>15.3</v>
      </c>
      <c r="G67" s="412">
        <v>0.1</v>
      </c>
      <c r="H67" s="412">
        <v>-0.1</v>
      </c>
      <c r="I67" s="652">
        <v>0.3</v>
      </c>
      <c r="J67" s="1042">
        <v>2</v>
      </c>
      <c r="K67" s="1048">
        <v>44000</v>
      </c>
      <c r="L67" s="1517" t="s">
        <v>440</v>
      </c>
      <c r="M67" s="334"/>
      <c r="N67" s="334"/>
      <c r="O67" s="1523" t="s">
        <v>215</v>
      </c>
      <c r="P67" s="486" t="s">
        <v>1</v>
      </c>
      <c r="Q67" s="728" t="s">
        <v>352</v>
      </c>
      <c r="R67" s="728" t="s">
        <v>12</v>
      </c>
      <c r="S67" s="1500" t="s">
        <v>443</v>
      </c>
      <c r="T67" s="1517" t="s">
        <v>444</v>
      </c>
      <c r="U67" s="349"/>
      <c r="V67" s="349"/>
      <c r="W67" s="349"/>
      <c r="X67" s="349"/>
      <c r="Y67" s="349"/>
      <c r="Z67" s="349"/>
      <c r="AA67" s="349"/>
      <c r="AB67" s="349"/>
      <c r="AC67" s="349"/>
      <c r="AD67" s="313"/>
      <c r="AV67" s="313"/>
      <c r="AW67" s="313"/>
      <c r="AX67" s="313"/>
      <c r="AY67" s="313"/>
      <c r="AZ67" s="313"/>
      <c r="BA67" s="313"/>
      <c r="BB67" s="313"/>
      <c r="BC67" s="313"/>
      <c r="BD67" s="313"/>
      <c r="BE67" s="313"/>
      <c r="BF67" s="313"/>
    </row>
    <row r="68" spans="1:58" ht="30" customHeight="1" thickBot="1" x14ac:dyDescent="0.25">
      <c r="A68" s="1543"/>
      <c r="B68" s="1544"/>
      <c r="C68" s="1041" t="s">
        <v>549</v>
      </c>
      <c r="D68" s="1028"/>
      <c r="E68" s="1035"/>
      <c r="F68" s="637">
        <v>24.5</v>
      </c>
      <c r="G68" s="429">
        <v>0.1</v>
      </c>
      <c r="H68" s="429">
        <v>0.3</v>
      </c>
      <c r="I68" s="653">
        <v>0.3</v>
      </c>
      <c r="J68" s="1044">
        <v>2</v>
      </c>
      <c r="K68" s="1048">
        <v>44000</v>
      </c>
      <c r="L68" s="1507"/>
      <c r="M68" s="334"/>
      <c r="N68" s="334"/>
      <c r="O68" s="1524"/>
      <c r="P68" s="499">
        <f>MAX(I66:I69)</f>
        <v>0.3</v>
      </c>
      <c r="Q68" s="732">
        <f>MAX(I70:I72)</f>
        <v>1.7</v>
      </c>
      <c r="R68" s="733">
        <f>MAX(I73:I75)</f>
        <v>0.15</v>
      </c>
      <c r="S68" s="1501"/>
      <c r="T68" s="1506"/>
      <c r="U68" s="349"/>
      <c r="V68" s="349"/>
      <c r="W68" s="349"/>
      <c r="X68" s="349"/>
      <c r="Y68" s="349"/>
      <c r="Z68" s="349"/>
      <c r="AA68" s="349"/>
      <c r="AB68" s="349"/>
      <c r="AC68" s="349"/>
      <c r="AD68" s="313"/>
      <c r="AV68" s="313"/>
      <c r="AW68" s="313"/>
      <c r="AX68" s="313"/>
      <c r="AY68" s="313"/>
      <c r="AZ68" s="313"/>
      <c r="BA68" s="313"/>
      <c r="BB68" s="313"/>
      <c r="BC68" s="313"/>
      <c r="BD68" s="313"/>
      <c r="BE68" s="313"/>
      <c r="BF68" s="313"/>
    </row>
    <row r="69" spans="1:58" ht="30" customHeight="1" thickBot="1" x14ac:dyDescent="0.25">
      <c r="A69" s="1545"/>
      <c r="B69" s="1546"/>
      <c r="C69" s="1041" t="s">
        <v>550</v>
      </c>
      <c r="D69" s="1028"/>
      <c r="E69" s="1035"/>
      <c r="F69" s="648">
        <v>29.5</v>
      </c>
      <c r="G69" s="431">
        <v>0.1</v>
      </c>
      <c r="H69" s="431">
        <v>0.2</v>
      </c>
      <c r="I69" s="654">
        <v>0.3</v>
      </c>
      <c r="J69" s="1045">
        <v>2</v>
      </c>
      <c r="K69" s="1048">
        <v>44000</v>
      </c>
      <c r="L69" s="1507"/>
      <c r="M69" s="334"/>
      <c r="N69" s="334"/>
      <c r="O69" s="1524"/>
      <c r="P69" s="734"/>
      <c r="Q69" s="735"/>
      <c r="R69" s="735"/>
      <c r="S69" s="1575"/>
      <c r="T69" s="1528"/>
      <c r="U69" s="349"/>
      <c r="V69" s="349"/>
      <c r="W69" s="349"/>
      <c r="X69" s="349"/>
      <c r="Y69" s="349"/>
      <c r="Z69" s="349"/>
      <c r="AA69" s="349"/>
      <c r="AB69" s="349"/>
      <c r="AC69" s="349"/>
      <c r="AD69" s="313"/>
      <c r="AV69" s="313"/>
      <c r="AW69" s="313"/>
      <c r="AX69" s="313"/>
      <c r="AY69" s="313"/>
      <c r="AZ69" s="313"/>
      <c r="BA69" s="313"/>
      <c r="BB69" s="313"/>
      <c r="BC69" s="313"/>
      <c r="BD69" s="313"/>
      <c r="BE69" s="313"/>
      <c r="BF69" s="313"/>
    </row>
    <row r="70" spans="1:58" ht="30" customHeight="1" x14ac:dyDescent="0.2">
      <c r="A70" s="1547" t="s">
        <v>212</v>
      </c>
      <c r="B70" s="1548"/>
      <c r="C70" s="1041" t="s">
        <v>551</v>
      </c>
      <c r="D70" s="1028"/>
      <c r="E70" s="1035"/>
      <c r="F70" s="635">
        <v>32.4</v>
      </c>
      <c r="G70" s="655">
        <v>0.1</v>
      </c>
      <c r="H70" s="655">
        <v>-2.4</v>
      </c>
      <c r="I70" s="656">
        <v>1.7</v>
      </c>
      <c r="J70" s="1042">
        <v>2</v>
      </c>
      <c r="K70" s="1049">
        <v>44001</v>
      </c>
      <c r="L70" s="1506" t="s">
        <v>441</v>
      </c>
      <c r="M70" s="334"/>
      <c r="N70" s="334"/>
      <c r="O70" s="463"/>
      <c r="P70" s="348"/>
      <c r="Q70" s="348"/>
      <c r="R70" s="348"/>
      <c r="S70" s="348"/>
      <c r="T70" s="464"/>
      <c r="U70" s="349"/>
      <c r="V70" s="349"/>
      <c r="W70" s="349"/>
      <c r="X70" s="349"/>
      <c r="Y70" s="349"/>
      <c r="Z70" s="349"/>
      <c r="AA70" s="349"/>
      <c r="AB70" s="349"/>
      <c r="AC70" s="349"/>
      <c r="AD70" s="313"/>
      <c r="AV70" s="313"/>
      <c r="AW70" s="313"/>
      <c r="AX70" s="313"/>
      <c r="AY70" s="313"/>
      <c r="AZ70" s="313"/>
      <c r="BA70" s="313"/>
      <c r="BB70" s="313"/>
      <c r="BC70" s="313"/>
      <c r="BD70" s="313"/>
      <c r="BE70" s="313"/>
      <c r="BF70" s="313"/>
    </row>
    <row r="71" spans="1:58" ht="30" customHeight="1" x14ac:dyDescent="0.2">
      <c r="A71" s="1549"/>
      <c r="B71" s="1550"/>
      <c r="C71" s="1041" t="s">
        <v>552</v>
      </c>
      <c r="D71" s="1028"/>
      <c r="E71" s="1035"/>
      <c r="F71" s="637">
        <v>50.2</v>
      </c>
      <c r="G71" s="657">
        <v>0.1</v>
      </c>
      <c r="H71" s="657">
        <v>-0.2</v>
      </c>
      <c r="I71" s="658">
        <v>1.7</v>
      </c>
      <c r="J71" s="1044">
        <v>2</v>
      </c>
      <c r="K71" s="1049">
        <v>44001</v>
      </c>
      <c r="L71" s="1507"/>
      <c r="M71" s="334"/>
      <c r="N71" s="334"/>
      <c r="O71" s="447"/>
      <c r="P71" s="313"/>
      <c r="Q71" s="348"/>
      <c r="R71" s="349"/>
      <c r="S71" s="349"/>
      <c r="T71" s="448"/>
      <c r="U71" s="349"/>
      <c r="V71" s="349"/>
      <c r="W71" s="349"/>
      <c r="X71" s="349"/>
      <c r="Y71" s="349"/>
      <c r="Z71" s="349"/>
      <c r="AA71" s="349"/>
      <c r="AB71" s="349"/>
      <c r="AC71" s="349"/>
      <c r="AD71" s="313"/>
      <c r="AV71" s="313"/>
      <c r="AW71" s="313"/>
      <c r="AX71" s="313"/>
      <c r="AY71" s="313"/>
      <c r="AZ71" s="313"/>
      <c r="BA71" s="313"/>
      <c r="BB71" s="313"/>
      <c r="BC71" s="313"/>
      <c r="BD71" s="313"/>
      <c r="BE71" s="313"/>
      <c r="BF71" s="313"/>
    </row>
    <row r="72" spans="1:58" ht="30" customHeight="1" thickBot="1" x14ac:dyDescent="0.25">
      <c r="A72" s="1551"/>
      <c r="B72" s="1552"/>
      <c r="C72" s="1041" t="s">
        <v>553</v>
      </c>
      <c r="D72" s="1028"/>
      <c r="E72" s="1035"/>
      <c r="F72" s="648">
        <v>76.099999999999994</v>
      </c>
      <c r="G72" s="659">
        <v>0.1</v>
      </c>
      <c r="H72" s="659">
        <v>3.9</v>
      </c>
      <c r="I72" s="660">
        <v>1.7</v>
      </c>
      <c r="J72" s="1045">
        <v>2</v>
      </c>
      <c r="K72" s="1049">
        <v>44001</v>
      </c>
      <c r="L72" s="1507"/>
      <c r="M72" s="334"/>
      <c r="N72" s="334"/>
      <c r="O72" s="447"/>
      <c r="P72" s="313"/>
      <c r="Q72" s="348"/>
      <c r="R72" s="349"/>
      <c r="S72" s="349"/>
      <c r="T72" s="448"/>
      <c r="U72" s="349"/>
      <c r="V72" s="349"/>
      <c r="W72" s="349"/>
      <c r="X72" s="349"/>
      <c r="Y72" s="349"/>
      <c r="Z72" s="349"/>
      <c r="AA72" s="349"/>
      <c r="AB72" s="349"/>
      <c r="AC72" s="349"/>
      <c r="AD72" s="313"/>
      <c r="AV72" s="313"/>
      <c r="AW72" s="313"/>
      <c r="AX72" s="313"/>
      <c r="AY72" s="313"/>
      <c r="AZ72" s="313"/>
      <c r="BA72" s="313"/>
      <c r="BB72" s="313"/>
      <c r="BC72" s="313"/>
      <c r="BD72" s="313"/>
      <c r="BE72" s="313"/>
      <c r="BF72" s="313"/>
    </row>
    <row r="73" spans="1:58" ht="30" customHeight="1" x14ac:dyDescent="0.2">
      <c r="A73" s="1547" t="s">
        <v>56</v>
      </c>
      <c r="B73" s="1548"/>
      <c r="C73" s="1041" t="s">
        <v>554</v>
      </c>
      <c r="D73" s="1028"/>
      <c r="E73" s="1028"/>
      <c r="F73" s="661">
        <v>397.70400000000001</v>
      </c>
      <c r="G73" s="655">
        <v>0.1</v>
      </c>
      <c r="H73" s="662">
        <v>2.25</v>
      </c>
      <c r="I73" s="663">
        <v>0.12</v>
      </c>
      <c r="J73" s="1042">
        <v>2</v>
      </c>
      <c r="K73" s="1049">
        <v>43980</v>
      </c>
      <c r="L73" s="1553" t="s">
        <v>442</v>
      </c>
      <c r="M73" s="334"/>
      <c r="N73" s="334"/>
      <c r="O73" s="447"/>
      <c r="P73" s="313"/>
      <c r="Q73" s="348"/>
      <c r="R73" s="349"/>
      <c r="S73" s="349"/>
      <c r="T73" s="448"/>
      <c r="U73" s="349"/>
      <c r="V73" s="349"/>
      <c r="W73" s="349"/>
      <c r="X73" s="349"/>
      <c r="Y73" s="349"/>
      <c r="Z73" s="349"/>
      <c r="AA73" s="349"/>
      <c r="AB73" s="349"/>
      <c r="AC73" s="349"/>
      <c r="AD73" s="313"/>
      <c r="AV73" s="313"/>
      <c r="AW73" s="313"/>
      <c r="AX73" s="313"/>
      <c r="AY73" s="313"/>
      <c r="AZ73" s="313"/>
      <c r="BA73" s="313"/>
      <c r="BB73" s="313"/>
      <c r="BC73" s="313"/>
      <c r="BD73" s="313"/>
      <c r="BE73" s="313"/>
      <c r="BF73" s="313"/>
    </row>
    <row r="74" spans="1:58" ht="30" customHeight="1" x14ac:dyDescent="0.2">
      <c r="A74" s="1549"/>
      <c r="B74" s="1550"/>
      <c r="C74" s="1041" t="s">
        <v>555</v>
      </c>
      <c r="D74" s="1028"/>
      <c r="E74" s="1028"/>
      <c r="F74" s="664">
        <v>752.71299999999997</v>
      </c>
      <c r="G74" s="657">
        <v>0.1</v>
      </c>
      <c r="H74" s="665">
        <v>1.0549999999999999</v>
      </c>
      <c r="I74" s="666">
        <v>8.4000000000000005E-2</v>
      </c>
      <c r="J74" s="1044">
        <v>2</v>
      </c>
      <c r="K74" s="1049">
        <v>43980</v>
      </c>
      <c r="L74" s="1507"/>
      <c r="M74" s="334"/>
      <c r="N74" s="334"/>
      <c r="O74" s="447"/>
      <c r="P74" s="313"/>
      <c r="Q74" s="348"/>
      <c r="R74" s="349"/>
      <c r="S74" s="349"/>
      <c r="T74" s="448"/>
      <c r="U74" s="349"/>
      <c r="V74" s="349"/>
      <c r="W74" s="349"/>
      <c r="X74" s="349"/>
      <c r="Y74" s="349"/>
      <c r="Z74" s="349"/>
      <c r="AA74" s="349"/>
      <c r="AB74" s="349"/>
      <c r="AC74" s="349"/>
      <c r="AD74" s="313"/>
      <c r="AV74" s="313"/>
      <c r="AW74" s="313"/>
      <c r="AX74" s="313"/>
      <c r="AY74" s="313"/>
      <c r="AZ74" s="313"/>
      <c r="BA74" s="313"/>
      <c r="BB74" s="313"/>
      <c r="BC74" s="313"/>
      <c r="BD74" s="313"/>
      <c r="BE74" s="313"/>
      <c r="BF74" s="313"/>
    </row>
    <row r="75" spans="1:58" ht="30" customHeight="1" thickBot="1" x14ac:dyDescent="0.25">
      <c r="A75" s="1551"/>
      <c r="B75" s="1552"/>
      <c r="C75" s="1041" t="s">
        <v>556</v>
      </c>
      <c r="D75" s="1029"/>
      <c r="E75" s="1029"/>
      <c r="F75" s="667">
        <v>1098.79</v>
      </c>
      <c r="G75" s="659">
        <v>0.1</v>
      </c>
      <c r="H75" s="668">
        <v>0.84</v>
      </c>
      <c r="I75" s="669">
        <v>0.15</v>
      </c>
      <c r="J75" s="1045">
        <v>2</v>
      </c>
      <c r="K75" s="1049">
        <v>43980</v>
      </c>
      <c r="L75" s="1516"/>
      <c r="M75" s="334"/>
      <c r="N75" s="334"/>
      <c r="O75" s="447"/>
      <c r="P75" s="313"/>
      <c r="Q75" s="348"/>
      <c r="R75" s="349"/>
      <c r="S75" s="349"/>
      <c r="T75" s="448"/>
      <c r="U75" s="349"/>
      <c r="V75" s="349"/>
      <c r="W75" s="349"/>
      <c r="X75" s="349"/>
      <c r="Y75" s="349"/>
      <c r="Z75" s="349"/>
      <c r="AA75" s="349"/>
      <c r="AB75" s="349"/>
      <c r="AC75" s="349"/>
      <c r="AD75" s="313"/>
      <c r="AV75" s="313"/>
      <c r="AW75" s="313"/>
      <c r="AX75" s="313"/>
      <c r="AY75" s="313"/>
      <c r="AZ75" s="313"/>
      <c r="BA75" s="313"/>
      <c r="BB75" s="313"/>
      <c r="BC75" s="313"/>
      <c r="BD75" s="313"/>
      <c r="BE75" s="313"/>
      <c r="BF75" s="313"/>
    </row>
    <row r="76" spans="1:58" ht="30" customHeight="1" x14ac:dyDescent="0.2">
      <c r="A76" s="313"/>
      <c r="B76" s="465"/>
      <c r="C76" s="313"/>
      <c r="D76" s="313"/>
      <c r="E76" s="334"/>
      <c r="F76" s="334"/>
      <c r="G76" s="334"/>
      <c r="H76" s="334"/>
      <c r="I76" s="334"/>
      <c r="J76" s="334"/>
      <c r="K76" s="334"/>
      <c r="L76" s="334"/>
      <c r="M76" s="334"/>
      <c r="N76" s="334"/>
      <c r="O76" s="447"/>
      <c r="P76" s="313"/>
      <c r="Q76" s="348"/>
      <c r="R76" s="349"/>
      <c r="S76" s="349"/>
      <c r="T76" s="448"/>
      <c r="U76" s="349"/>
      <c r="V76" s="349"/>
      <c r="W76" s="349"/>
      <c r="X76" s="349"/>
      <c r="Y76" s="349"/>
      <c r="Z76" s="349"/>
      <c r="AA76" s="349"/>
      <c r="AB76" s="349"/>
      <c r="AC76" s="349"/>
      <c r="AD76" s="313"/>
      <c r="AV76" s="313"/>
      <c r="AW76" s="313"/>
      <c r="AX76" s="313"/>
      <c r="AY76" s="313"/>
      <c r="AZ76" s="313"/>
      <c r="BA76" s="313"/>
      <c r="BB76" s="313"/>
      <c r="BC76" s="313"/>
      <c r="BD76" s="313"/>
      <c r="BE76" s="313"/>
      <c r="BF76" s="313"/>
    </row>
    <row r="77" spans="1:58" ht="30" customHeight="1" thickBot="1" x14ac:dyDescent="0.25">
      <c r="A77" s="313"/>
      <c r="B77" s="465"/>
      <c r="C77" s="466"/>
      <c r="D77" s="467"/>
      <c r="E77" s="468"/>
      <c r="F77" s="366"/>
      <c r="G77" s="366"/>
      <c r="H77" s="366"/>
      <c r="I77" s="366"/>
      <c r="J77" s="366"/>
      <c r="K77" s="461"/>
      <c r="L77" s="334"/>
      <c r="M77" s="334"/>
      <c r="N77" s="334"/>
      <c r="O77" s="447"/>
      <c r="P77" s="313"/>
      <c r="Q77" s="348"/>
      <c r="R77" s="349"/>
      <c r="S77" s="349"/>
      <c r="T77" s="448"/>
      <c r="U77" s="349"/>
      <c r="V77" s="349"/>
      <c r="W77" s="349"/>
      <c r="X77" s="349"/>
      <c r="Y77" s="349"/>
      <c r="Z77" s="349"/>
      <c r="AA77" s="349"/>
      <c r="AB77" s="349"/>
      <c r="AC77" s="349"/>
      <c r="AD77" s="313"/>
      <c r="AV77" s="313"/>
      <c r="AW77" s="313"/>
      <c r="AX77" s="313"/>
      <c r="AY77" s="313"/>
      <c r="AZ77" s="313"/>
      <c r="BA77" s="313"/>
      <c r="BB77" s="313"/>
      <c r="BC77" s="313"/>
      <c r="BD77" s="313"/>
      <c r="BE77" s="313"/>
      <c r="BF77" s="313"/>
    </row>
    <row r="78" spans="1:58" ht="30" customHeight="1" thickBot="1" x14ac:dyDescent="0.25">
      <c r="A78" s="1547" t="s">
        <v>17</v>
      </c>
      <c r="B78" s="1563"/>
      <c r="C78" s="1041" t="s">
        <v>557</v>
      </c>
      <c r="D78" s="1031" t="s">
        <v>169</v>
      </c>
      <c r="E78" s="1034" t="s">
        <v>316</v>
      </c>
      <c r="F78" s="682">
        <v>15.3</v>
      </c>
      <c r="G78" s="683">
        <v>0.1</v>
      </c>
      <c r="H78" s="684">
        <v>-0.1</v>
      </c>
      <c r="I78" s="685">
        <v>0.3</v>
      </c>
      <c r="J78" s="1042">
        <v>2</v>
      </c>
      <c r="K78" s="991">
        <v>43732</v>
      </c>
      <c r="L78" s="1566" t="s">
        <v>319</v>
      </c>
      <c r="M78" s="334"/>
      <c r="N78" s="334"/>
      <c r="O78" s="1523" t="s">
        <v>217</v>
      </c>
      <c r="P78" s="486" t="s">
        <v>1</v>
      </c>
      <c r="Q78" s="728" t="s">
        <v>352</v>
      </c>
      <c r="R78" s="728" t="s">
        <v>12</v>
      </c>
      <c r="S78" s="1529" t="s">
        <v>482</v>
      </c>
      <c r="T78" s="1532" t="s">
        <v>483</v>
      </c>
      <c r="U78" s="349"/>
      <c r="V78" s="349"/>
      <c r="W78" s="349"/>
      <c r="X78" s="349"/>
      <c r="Y78" s="349"/>
      <c r="Z78" s="349"/>
      <c r="AA78" s="349"/>
      <c r="AB78" s="349"/>
      <c r="AC78" s="349"/>
      <c r="AD78" s="313"/>
      <c r="AV78" s="313"/>
      <c r="AW78" s="313"/>
      <c r="AX78" s="313"/>
      <c r="AY78" s="313"/>
      <c r="AZ78" s="313"/>
      <c r="BA78" s="313"/>
      <c r="BB78" s="313"/>
      <c r="BC78" s="313"/>
      <c r="BD78" s="313"/>
      <c r="BE78" s="313"/>
      <c r="BF78" s="313"/>
    </row>
    <row r="79" spans="1:58" ht="30" customHeight="1" thickBot="1" x14ac:dyDescent="0.25">
      <c r="A79" s="1549"/>
      <c r="B79" s="1564"/>
      <c r="C79" s="1041" t="s">
        <v>558</v>
      </c>
      <c r="D79" s="1032"/>
      <c r="E79" s="1035"/>
      <c r="F79" s="627">
        <v>24.8</v>
      </c>
      <c r="G79" s="628">
        <v>0.1</v>
      </c>
      <c r="H79" s="686">
        <v>0</v>
      </c>
      <c r="I79" s="629">
        <v>0.3</v>
      </c>
      <c r="J79" s="1044">
        <v>2</v>
      </c>
      <c r="K79" s="991">
        <v>43732</v>
      </c>
      <c r="L79" s="1567"/>
      <c r="M79" s="334"/>
      <c r="N79" s="334"/>
      <c r="O79" s="1524"/>
      <c r="P79" s="720">
        <f>MAX(I78:I80)</f>
        <v>0.3</v>
      </c>
      <c r="Q79" s="729">
        <f>MAX(I81:I83)</f>
        <v>1.7</v>
      </c>
      <c r="R79" s="729">
        <f>MAX(I84:I86)</f>
        <v>0.14000000000000001</v>
      </c>
      <c r="S79" s="1530"/>
      <c r="T79" s="1533"/>
      <c r="U79" s="349"/>
      <c r="V79" s="349"/>
      <c r="W79" s="349"/>
      <c r="X79" s="349"/>
      <c r="Y79" s="349"/>
      <c r="Z79" s="349"/>
      <c r="AA79" s="349"/>
      <c r="AB79" s="349"/>
      <c r="AC79" s="349"/>
      <c r="AD79" s="313"/>
      <c r="AV79" s="313"/>
      <c r="AW79" s="313"/>
      <c r="AX79" s="313"/>
      <c r="AY79" s="313"/>
      <c r="AZ79" s="313"/>
      <c r="BA79" s="313"/>
      <c r="BB79" s="313"/>
      <c r="BC79" s="313"/>
      <c r="BD79" s="313"/>
      <c r="BE79" s="313"/>
      <c r="BF79" s="313"/>
    </row>
    <row r="80" spans="1:58" ht="30" customHeight="1" thickBot="1" x14ac:dyDescent="0.25">
      <c r="A80" s="1551"/>
      <c r="B80" s="1565"/>
      <c r="C80" s="1041" t="s">
        <v>559</v>
      </c>
      <c r="D80" s="1032"/>
      <c r="E80" s="1035"/>
      <c r="F80" s="630">
        <v>29.6</v>
      </c>
      <c r="G80" s="687">
        <v>0.1</v>
      </c>
      <c r="H80" s="631">
        <v>0.1</v>
      </c>
      <c r="I80" s="632">
        <v>0.3</v>
      </c>
      <c r="J80" s="1045">
        <v>2</v>
      </c>
      <c r="K80" s="991">
        <v>43732</v>
      </c>
      <c r="L80" s="1567"/>
      <c r="M80" s="334"/>
      <c r="N80" s="334"/>
      <c r="O80" s="1525"/>
      <c r="P80" s="730"/>
      <c r="Q80" s="731"/>
      <c r="R80" s="731"/>
      <c r="S80" s="1531"/>
      <c r="T80" s="1534"/>
      <c r="U80" s="349"/>
      <c r="V80" s="349"/>
      <c r="W80" s="349"/>
      <c r="X80" s="349"/>
      <c r="Y80" s="349"/>
      <c r="Z80" s="349"/>
      <c r="AA80" s="349"/>
      <c r="AB80" s="349"/>
      <c r="AC80" s="349"/>
      <c r="AD80" s="313"/>
      <c r="AV80" s="313"/>
      <c r="AW80" s="313"/>
      <c r="AX80" s="313"/>
      <c r="AY80" s="313"/>
      <c r="AZ80" s="313"/>
      <c r="BA80" s="313"/>
      <c r="BB80" s="313"/>
      <c r="BC80" s="313"/>
      <c r="BD80" s="313"/>
      <c r="BE80" s="313"/>
      <c r="BF80" s="313"/>
    </row>
    <row r="81" spans="1:58" ht="30" customHeight="1" x14ac:dyDescent="0.2">
      <c r="A81" s="1547" t="s">
        <v>212</v>
      </c>
      <c r="B81" s="1563"/>
      <c r="C81" s="1041" t="s">
        <v>560</v>
      </c>
      <c r="D81" s="1032"/>
      <c r="E81" s="1035"/>
      <c r="F81" s="688">
        <v>32.299999999999997</v>
      </c>
      <c r="G81" s="683">
        <v>0.1</v>
      </c>
      <c r="H81" s="683">
        <v>-2.2999999999999998</v>
      </c>
      <c r="I81" s="685">
        <v>1.7</v>
      </c>
      <c r="J81" s="1042">
        <v>2</v>
      </c>
      <c r="K81" s="990">
        <v>43733</v>
      </c>
      <c r="L81" s="1568" t="s">
        <v>320</v>
      </c>
      <c r="M81" s="334"/>
      <c r="N81" s="334"/>
      <c r="O81" s="447"/>
      <c r="P81" s="313"/>
      <c r="Q81" s="348"/>
      <c r="R81" s="349"/>
      <c r="S81" s="349"/>
      <c r="T81" s="448"/>
      <c r="U81" s="349"/>
      <c r="V81" s="349"/>
      <c r="W81" s="349"/>
      <c r="X81" s="349"/>
      <c r="Y81" s="349"/>
      <c r="Z81" s="349"/>
      <c r="AA81" s="349"/>
      <c r="AB81" s="349"/>
      <c r="AC81" s="349"/>
      <c r="AD81" s="313"/>
      <c r="AV81" s="313"/>
      <c r="AW81" s="313"/>
      <c r="AX81" s="313"/>
      <c r="AY81" s="313"/>
      <c r="AZ81" s="313"/>
      <c r="BA81" s="313"/>
      <c r="BB81" s="313"/>
      <c r="BC81" s="313"/>
      <c r="BD81" s="313"/>
      <c r="BE81" s="313"/>
      <c r="BF81" s="313"/>
    </row>
    <row r="82" spans="1:58" ht="30" customHeight="1" x14ac:dyDescent="0.2">
      <c r="A82" s="1549"/>
      <c r="B82" s="1564"/>
      <c r="C82" s="1041" t="s">
        <v>561</v>
      </c>
      <c r="D82" s="1032"/>
      <c r="E82" s="1035"/>
      <c r="F82" s="627">
        <v>50.6</v>
      </c>
      <c r="G82" s="628">
        <v>0.1</v>
      </c>
      <c r="H82" s="628">
        <v>-0.6</v>
      </c>
      <c r="I82" s="629">
        <v>1.7</v>
      </c>
      <c r="J82" s="1044">
        <v>2</v>
      </c>
      <c r="K82" s="990">
        <v>43733</v>
      </c>
      <c r="L82" s="1567"/>
      <c r="M82" s="334"/>
      <c r="N82" s="334"/>
      <c r="O82" s="447"/>
      <c r="P82" s="313"/>
      <c r="Q82" s="348"/>
      <c r="R82" s="349"/>
      <c r="S82" s="349"/>
      <c r="T82" s="448"/>
      <c r="U82" s="349"/>
      <c r="V82" s="349"/>
      <c r="W82" s="349"/>
      <c r="X82" s="349"/>
      <c r="Y82" s="349"/>
      <c r="Z82" s="349"/>
      <c r="AA82" s="349"/>
      <c r="AB82" s="349"/>
      <c r="AC82" s="349"/>
      <c r="AD82" s="313"/>
      <c r="AV82" s="313"/>
      <c r="AW82" s="313"/>
      <c r="AX82" s="313"/>
      <c r="AY82" s="313"/>
      <c r="AZ82" s="313"/>
      <c r="BA82" s="313"/>
      <c r="BB82" s="313"/>
      <c r="BC82" s="313"/>
      <c r="BD82" s="313"/>
      <c r="BE82" s="313"/>
      <c r="BF82" s="313"/>
    </row>
    <row r="83" spans="1:58" ht="30" customHeight="1" thickBot="1" x14ac:dyDescent="0.25">
      <c r="A83" s="1551"/>
      <c r="B83" s="1565"/>
      <c r="C83" s="1041" t="s">
        <v>562</v>
      </c>
      <c r="D83" s="1032"/>
      <c r="E83" s="1035"/>
      <c r="F83" s="630">
        <v>68.599999999999994</v>
      </c>
      <c r="G83" s="631">
        <v>0.1</v>
      </c>
      <c r="H83" s="631">
        <v>1.4</v>
      </c>
      <c r="I83" s="632">
        <v>1.7</v>
      </c>
      <c r="J83" s="1045">
        <v>2</v>
      </c>
      <c r="K83" s="990">
        <v>43733</v>
      </c>
      <c r="L83" s="1567"/>
      <c r="M83" s="334"/>
      <c r="N83" s="334"/>
      <c r="O83" s="447"/>
      <c r="P83" s="313"/>
      <c r="Q83" s="348"/>
      <c r="R83" s="349"/>
      <c r="S83" s="349"/>
      <c r="T83" s="448"/>
      <c r="U83" s="349"/>
      <c r="V83" s="349"/>
      <c r="W83" s="349"/>
      <c r="X83" s="349"/>
      <c r="Y83" s="349"/>
      <c r="Z83" s="349"/>
      <c r="AA83" s="349"/>
      <c r="AB83" s="349"/>
      <c r="AC83" s="349"/>
      <c r="AD83" s="313"/>
      <c r="AV83" s="313"/>
      <c r="AW83" s="313"/>
      <c r="AX83" s="313"/>
      <c r="AY83" s="313"/>
      <c r="AZ83" s="313"/>
      <c r="BA83" s="313"/>
      <c r="BB83" s="313"/>
      <c r="BC83" s="313"/>
      <c r="BD83" s="313"/>
      <c r="BE83" s="313"/>
      <c r="BF83" s="313"/>
    </row>
    <row r="84" spans="1:58" ht="30" customHeight="1" x14ac:dyDescent="0.2">
      <c r="A84" s="1547" t="s">
        <v>56</v>
      </c>
      <c r="B84" s="1563"/>
      <c r="C84" s="1041" t="s">
        <v>563</v>
      </c>
      <c r="D84" s="1032"/>
      <c r="E84" s="1028"/>
      <c r="F84" s="670">
        <v>397.74599999999998</v>
      </c>
      <c r="G84" s="671">
        <v>0.1</v>
      </c>
      <c r="H84" s="672">
        <v>2.33</v>
      </c>
      <c r="I84" s="673">
        <v>0.12</v>
      </c>
      <c r="J84" s="1042">
        <v>2</v>
      </c>
      <c r="K84" s="1047">
        <v>44106</v>
      </c>
      <c r="L84" s="1554" t="s">
        <v>481</v>
      </c>
      <c r="M84" s="334"/>
      <c r="N84" s="334"/>
      <c r="O84" s="447"/>
      <c r="P84" s="313"/>
      <c r="Q84" s="348"/>
      <c r="R84" s="349"/>
      <c r="S84" s="349"/>
      <c r="T84" s="448"/>
      <c r="U84" s="349"/>
      <c r="V84" s="349"/>
      <c r="W84" s="349"/>
      <c r="X84" s="349"/>
      <c r="Y84" s="349"/>
      <c r="Z84" s="349"/>
      <c r="AA84" s="349"/>
      <c r="AB84" s="349"/>
      <c r="AC84" s="349"/>
      <c r="AD84" s="313"/>
      <c r="AV84" s="313"/>
      <c r="AW84" s="313"/>
      <c r="AX84" s="313"/>
      <c r="AY84" s="313"/>
      <c r="AZ84" s="313"/>
      <c r="BA84" s="313"/>
      <c r="BB84" s="313"/>
      <c r="BC84" s="313"/>
      <c r="BD84" s="313"/>
      <c r="BE84" s="313"/>
      <c r="BF84" s="313"/>
    </row>
    <row r="85" spans="1:58" ht="30" customHeight="1" x14ac:dyDescent="0.2">
      <c r="A85" s="1549"/>
      <c r="B85" s="1564"/>
      <c r="C85" s="1041" t="s">
        <v>564</v>
      </c>
      <c r="D85" s="1032"/>
      <c r="E85" s="1028"/>
      <c r="F85" s="674">
        <v>752.61900000000003</v>
      </c>
      <c r="G85" s="675">
        <v>0.1</v>
      </c>
      <c r="H85" s="676">
        <v>0.99099999999999999</v>
      </c>
      <c r="I85" s="677">
        <v>8.4000000000000005E-2</v>
      </c>
      <c r="J85" s="1044">
        <v>2</v>
      </c>
      <c r="K85" s="1047">
        <v>44106</v>
      </c>
      <c r="L85" s="1555" t="s">
        <v>216</v>
      </c>
      <c r="M85" s="334"/>
      <c r="N85" s="334"/>
      <c r="O85" s="447"/>
      <c r="P85" s="313"/>
      <c r="Q85" s="348"/>
      <c r="R85" s="349"/>
      <c r="S85" s="349"/>
      <c r="T85" s="448"/>
      <c r="U85" s="349"/>
      <c r="V85" s="349"/>
      <c r="W85" s="349"/>
      <c r="X85" s="349"/>
      <c r="Y85" s="349"/>
      <c r="Z85" s="349"/>
      <c r="AA85" s="349"/>
      <c r="AB85" s="349"/>
      <c r="AC85" s="349"/>
      <c r="AD85" s="313"/>
      <c r="AV85" s="313"/>
      <c r="AW85" s="313"/>
      <c r="AX85" s="313"/>
      <c r="AY85" s="313"/>
      <c r="AZ85" s="313"/>
      <c r="BA85" s="313"/>
      <c r="BB85" s="313"/>
      <c r="BC85" s="313"/>
      <c r="BD85" s="313"/>
      <c r="BE85" s="313"/>
      <c r="BF85" s="313"/>
    </row>
    <row r="86" spans="1:58" ht="30" customHeight="1" thickBot="1" x14ac:dyDescent="0.25">
      <c r="A86" s="1551"/>
      <c r="B86" s="1565"/>
      <c r="C86" s="1041" t="s">
        <v>565</v>
      </c>
      <c r="D86" s="1033"/>
      <c r="E86" s="1029"/>
      <c r="F86" s="678">
        <v>1098.8340000000001</v>
      </c>
      <c r="G86" s="679">
        <v>0.1</v>
      </c>
      <c r="H86" s="680">
        <v>0.74</v>
      </c>
      <c r="I86" s="681">
        <v>0.14000000000000001</v>
      </c>
      <c r="J86" s="1045">
        <v>2</v>
      </c>
      <c r="K86" s="1047">
        <v>44106</v>
      </c>
      <c r="L86" s="1556"/>
      <c r="M86" s="334"/>
      <c r="N86" s="334"/>
      <c r="O86" s="447"/>
      <c r="P86" s="313"/>
      <c r="Q86" s="348"/>
      <c r="R86" s="349"/>
      <c r="S86" s="349"/>
      <c r="T86" s="448"/>
      <c r="U86" s="349"/>
      <c r="V86" s="349"/>
      <c r="W86" s="349"/>
      <c r="X86" s="349"/>
      <c r="Y86" s="349"/>
      <c r="Z86" s="349"/>
      <c r="AA86" s="349"/>
      <c r="AB86" s="349"/>
      <c r="AC86" s="349"/>
      <c r="AD86" s="313"/>
      <c r="AV86" s="313"/>
      <c r="AW86" s="313"/>
      <c r="AX86" s="313"/>
      <c r="AY86" s="313"/>
      <c r="AZ86" s="313"/>
      <c r="BA86" s="313"/>
      <c r="BB86" s="313"/>
      <c r="BC86" s="313"/>
      <c r="BD86" s="313"/>
      <c r="BE86" s="313"/>
      <c r="BF86" s="313"/>
    </row>
    <row r="87" spans="1:58" ht="30" customHeight="1" x14ac:dyDescent="0.2">
      <c r="A87" s="313"/>
      <c r="B87" s="465"/>
      <c r="C87" s="313"/>
      <c r="D87" s="313"/>
      <c r="E87" s="334"/>
      <c r="F87" s="334"/>
      <c r="G87" s="334"/>
      <c r="H87" s="334"/>
      <c r="I87" s="334"/>
      <c r="J87" s="334"/>
      <c r="K87" s="334"/>
      <c r="L87" s="334"/>
      <c r="M87" s="334"/>
      <c r="N87" s="334"/>
      <c r="O87" s="447"/>
      <c r="P87" s="313"/>
      <c r="Q87" s="348"/>
      <c r="R87" s="349"/>
      <c r="S87" s="349"/>
      <c r="T87" s="448"/>
      <c r="U87" s="349"/>
      <c r="V87" s="349"/>
      <c r="W87" s="349"/>
      <c r="X87" s="349"/>
      <c r="Y87" s="349"/>
      <c r="Z87" s="349"/>
      <c r="AA87" s="349"/>
      <c r="AB87" s="349"/>
      <c r="AC87" s="349"/>
      <c r="AD87" s="313"/>
      <c r="AV87" s="313"/>
      <c r="AW87" s="313"/>
      <c r="AX87" s="313"/>
      <c r="AY87" s="313"/>
      <c r="AZ87" s="313"/>
      <c r="BA87" s="313"/>
      <c r="BB87" s="313"/>
      <c r="BC87" s="313"/>
      <c r="BD87" s="313"/>
      <c r="BE87" s="313"/>
      <c r="BF87" s="313"/>
    </row>
    <row r="88" spans="1:58" ht="30" customHeight="1" thickBot="1" x14ac:dyDescent="0.25">
      <c r="A88" s="313"/>
      <c r="B88" s="465"/>
      <c r="C88" s="467"/>
      <c r="D88" s="466"/>
      <c r="E88" s="468"/>
      <c r="F88" s="366"/>
      <c r="G88" s="366"/>
      <c r="H88" s="366"/>
      <c r="I88" s="366"/>
      <c r="J88" s="366"/>
      <c r="K88" s="461"/>
      <c r="L88" s="334"/>
      <c r="M88" s="334"/>
      <c r="N88" s="334"/>
      <c r="O88" s="447"/>
      <c r="P88" s="313"/>
      <c r="Q88" s="348"/>
      <c r="R88" s="349"/>
      <c r="S88" s="349"/>
      <c r="T88" s="448"/>
      <c r="U88" s="349"/>
      <c r="V88" s="349"/>
      <c r="W88" s="349"/>
      <c r="X88" s="349"/>
      <c r="Y88" s="349"/>
      <c r="Z88" s="349"/>
      <c r="AA88" s="349"/>
      <c r="AB88" s="349"/>
      <c r="AC88" s="349"/>
      <c r="AD88" s="313"/>
      <c r="AV88" s="313"/>
      <c r="AW88" s="313"/>
      <c r="AX88" s="313"/>
      <c r="AY88" s="313"/>
      <c r="AZ88" s="313"/>
      <c r="BA88" s="313"/>
      <c r="BB88" s="313"/>
      <c r="BC88" s="313"/>
      <c r="BD88" s="313"/>
      <c r="BE88" s="313"/>
      <c r="BF88" s="313"/>
    </row>
    <row r="89" spans="1:58" ht="30" customHeight="1" thickBot="1" x14ac:dyDescent="0.25">
      <c r="A89" s="1519" t="s">
        <v>17</v>
      </c>
      <c r="B89" s="1520"/>
      <c r="C89" s="1041" t="s">
        <v>566</v>
      </c>
      <c r="D89" s="1031" t="s">
        <v>169</v>
      </c>
      <c r="E89" s="1034" t="s">
        <v>315</v>
      </c>
      <c r="F89" s="635">
        <v>15.2</v>
      </c>
      <c r="G89" s="412">
        <v>0.1</v>
      </c>
      <c r="H89" s="636">
        <v>0</v>
      </c>
      <c r="I89" s="689">
        <v>0.3</v>
      </c>
      <c r="J89" s="1042">
        <v>2</v>
      </c>
      <c r="K89" s="1050">
        <v>44000</v>
      </c>
      <c r="L89" s="1517" t="s">
        <v>445</v>
      </c>
      <c r="M89" s="334"/>
      <c r="N89" s="334"/>
      <c r="O89" s="1523" t="s">
        <v>218</v>
      </c>
      <c r="P89" s="486" t="s">
        <v>1</v>
      </c>
      <c r="Q89" s="728" t="s">
        <v>352</v>
      </c>
      <c r="R89" s="728" t="s">
        <v>12</v>
      </c>
      <c r="S89" s="1500" t="s">
        <v>448</v>
      </c>
      <c r="T89" s="1517" t="s">
        <v>449</v>
      </c>
      <c r="U89" s="349"/>
      <c r="V89" s="349"/>
      <c r="W89" s="349"/>
      <c r="X89" s="349"/>
      <c r="Y89" s="349"/>
      <c r="Z89" s="349"/>
      <c r="AA89" s="349"/>
      <c r="AB89" s="349"/>
      <c r="AC89" s="349"/>
      <c r="AD89" s="313"/>
      <c r="AV89" s="313"/>
      <c r="AW89" s="313"/>
      <c r="AX89" s="313"/>
      <c r="AY89" s="313"/>
      <c r="AZ89" s="313"/>
      <c r="BA89" s="313"/>
      <c r="BB89" s="313"/>
      <c r="BC89" s="313"/>
      <c r="BD89" s="313"/>
      <c r="BE89" s="313"/>
      <c r="BF89" s="313"/>
    </row>
    <row r="90" spans="1:58" ht="30" customHeight="1" thickBot="1" x14ac:dyDescent="0.25">
      <c r="A90" s="1521"/>
      <c r="B90" s="1522"/>
      <c r="C90" s="1041" t="s">
        <v>567</v>
      </c>
      <c r="D90" s="1032"/>
      <c r="E90" s="1035"/>
      <c r="F90" s="637">
        <v>24.8</v>
      </c>
      <c r="G90" s="429">
        <v>0.1</v>
      </c>
      <c r="H90" s="647">
        <v>0</v>
      </c>
      <c r="I90" s="690">
        <v>0.2</v>
      </c>
      <c r="J90" s="1044">
        <v>2</v>
      </c>
      <c r="K90" s="1050">
        <v>44000</v>
      </c>
      <c r="L90" s="1507"/>
      <c r="M90" s="334"/>
      <c r="N90" s="334"/>
      <c r="O90" s="1524"/>
      <c r="P90" s="720">
        <f>MAX(I89:I91)</f>
        <v>0.3</v>
      </c>
      <c r="Q90" s="729">
        <f>MAX(I92:I94)</f>
        <v>1.7</v>
      </c>
      <c r="R90" s="729">
        <f>MAX(I95:I97)</f>
        <v>9.5000000000000001E-2</v>
      </c>
      <c r="S90" s="1501"/>
      <c r="T90" s="1506"/>
      <c r="U90" s="349"/>
      <c r="V90" s="349"/>
      <c r="W90" s="349"/>
      <c r="X90" s="349"/>
      <c r="Y90" s="349"/>
      <c r="Z90" s="349"/>
      <c r="AA90" s="349"/>
      <c r="AB90" s="349"/>
      <c r="AC90" s="349"/>
      <c r="AD90" s="313"/>
      <c r="AV90" s="313"/>
      <c r="AW90" s="313"/>
      <c r="AX90" s="313"/>
      <c r="AY90" s="313"/>
      <c r="AZ90" s="313"/>
      <c r="BA90" s="313"/>
      <c r="BB90" s="313"/>
      <c r="BC90" s="313"/>
      <c r="BD90" s="313"/>
      <c r="BE90" s="313"/>
      <c r="BF90" s="313"/>
    </row>
    <row r="91" spans="1:58" ht="30" customHeight="1" thickBot="1" x14ac:dyDescent="0.25">
      <c r="A91" s="1521"/>
      <c r="B91" s="1522"/>
      <c r="C91" s="1041" t="s">
        <v>568</v>
      </c>
      <c r="D91" s="1032"/>
      <c r="E91" s="1035"/>
      <c r="F91" s="641">
        <v>29.8</v>
      </c>
      <c r="G91" s="431">
        <v>0.1</v>
      </c>
      <c r="H91" s="649">
        <v>-0.1</v>
      </c>
      <c r="I91" s="691">
        <v>0.2</v>
      </c>
      <c r="J91" s="1045">
        <v>2</v>
      </c>
      <c r="K91" s="1050">
        <v>44000</v>
      </c>
      <c r="L91" s="1507"/>
      <c r="M91" s="334"/>
      <c r="N91" s="334"/>
      <c r="O91" s="1525"/>
      <c r="P91" s="730"/>
      <c r="Q91" s="731"/>
      <c r="R91" s="731"/>
      <c r="S91" s="1502"/>
      <c r="T91" s="1518"/>
      <c r="U91" s="349"/>
      <c r="V91" s="349"/>
      <c r="W91" s="349"/>
      <c r="X91" s="349"/>
      <c r="Y91" s="349"/>
      <c r="Z91" s="349"/>
      <c r="AA91" s="349"/>
      <c r="AB91" s="349"/>
      <c r="AC91" s="349"/>
      <c r="AD91" s="313"/>
      <c r="AV91" s="313"/>
      <c r="AW91" s="313"/>
      <c r="AX91" s="313"/>
      <c r="AY91" s="313"/>
      <c r="AZ91" s="313"/>
      <c r="BA91" s="313"/>
      <c r="BB91" s="313"/>
      <c r="BC91" s="313"/>
      <c r="BD91" s="313"/>
      <c r="BE91" s="313"/>
      <c r="BF91" s="313"/>
    </row>
    <row r="92" spans="1:58" ht="30" customHeight="1" x14ac:dyDescent="0.2">
      <c r="A92" s="1504" t="s">
        <v>212</v>
      </c>
      <c r="B92" s="1505"/>
      <c r="C92" s="1041" t="s">
        <v>569</v>
      </c>
      <c r="D92" s="1032"/>
      <c r="E92" s="1035"/>
      <c r="F92" s="635">
        <v>32.9</v>
      </c>
      <c r="G92" s="412">
        <v>0.1</v>
      </c>
      <c r="H92" s="412">
        <v>-3</v>
      </c>
      <c r="I92" s="692">
        <v>1.7</v>
      </c>
      <c r="J92" s="1042">
        <v>2</v>
      </c>
      <c r="K92" s="1051">
        <v>44001</v>
      </c>
      <c r="L92" s="1506" t="s">
        <v>446</v>
      </c>
      <c r="M92" s="334"/>
      <c r="N92" s="334"/>
      <c r="O92" s="447"/>
      <c r="P92" s="313"/>
      <c r="Q92" s="348"/>
      <c r="R92" s="349"/>
      <c r="S92" s="349"/>
      <c r="T92" s="448"/>
      <c r="U92" s="349"/>
      <c r="V92" s="349"/>
      <c r="W92" s="349"/>
      <c r="X92" s="349"/>
      <c r="Y92" s="349"/>
      <c r="Z92" s="349"/>
      <c r="AA92" s="349"/>
      <c r="AB92" s="349"/>
      <c r="AC92" s="349"/>
      <c r="AD92" s="313"/>
      <c r="AV92" s="313"/>
      <c r="AW92" s="313"/>
      <c r="AX92" s="313"/>
      <c r="AY92" s="313"/>
      <c r="AZ92" s="313"/>
      <c r="BA92" s="313"/>
      <c r="BB92" s="313"/>
      <c r="BC92" s="313"/>
      <c r="BD92" s="313"/>
      <c r="BE92" s="313"/>
      <c r="BF92" s="313"/>
    </row>
    <row r="93" spans="1:58" ht="30" customHeight="1" x14ac:dyDescent="0.2">
      <c r="A93" s="1504"/>
      <c r="B93" s="1505"/>
      <c r="C93" s="1041" t="s">
        <v>570</v>
      </c>
      <c r="D93" s="1032"/>
      <c r="E93" s="1035"/>
      <c r="F93" s="637">
        <v>51.2</v>
      </c>
      <c r="G93" s="429">
        <v>0.1</v>
      </c>
      <c r="H93" s="429">
        <v>-1.2</v>
      </c>
      <c r="I93" s="693">
        <v>1.7</v>
      </c>
      <c r="J93" s="1044">
        <v>2</v>
      </c>
      <c r="K93" s="1051">
        <v>44001</v>
      </c>
      <c r="L93" s="1507"/>
      <c r="M93" s="334"/>
      <c r="N93" s="334"/>
      <c r="O93" s="447"/>
      <c r="P93" s="313"/>
      <c r="Q93" s="348"/>
      <c r="R93" s="349"/>
      <c r="S93" s="349"/>
      <c r="T93" s="448"/>
      <c r="U93" s="349"/>
      <c r="V93" s="349"/>
      <c r="W93" s="349"/>
      <c r="X93" s="349"/>
      <c r="Y93" s="349"/>
      <c r="Z93" s="349"/>
      <c r="AA93" s="349"/>
      <c r="AB93" s="349"/>
      <c r="AC93" s="349"/>
      <c r="AD93" s="313"/>
      <c r="AV93" s="313"/>
      <c r="AW93" s="313"/>
      <c r="AX93" s="313"/>
      <c r="AY93" s="313"/>
      <c r="AZ93" s="313"/>
      <c r="BA93" s="313"/>
      <c r="BB93" s="313"/>
      <c r="BC93" s="313"/>
      <c r="BD93" s="313"/>
      <c r="BE93" s="313"/>
      <c r="BF93" s="313"/>
    </row>
    <row r="94" spans="1:58" ht="30" customHeight="1" thickBot="1" x14ac:dyDescent="0.25">
      <c r="A94" s="1504"/>
      <c r="B94" s="1505"/>
      <c r="C94" s="1041" t="s">
        <v>571</v>
      </c>
      <c r="D94" s="1032"/>
      <c r="E94" s="1035"/>
      <c r="F94" s="648">
        <v>77.599999999999994</v>
      </c>
      <c r="G94" s="431">
        <v>0.1</v>
      </c>
      <c r="H94" s="431">
        <v>2.4</v>
      </c>
      <c r="I94" s="694">
        <v>1.7</v>
      </c>
      <c r="J94" s="1045">
        <v>2</v>
      </c>
      <c r="K94" s="1051">
        <v>44001</v>
      </c>
      <c r="L94" s="1507"/>
      <c r="M94" s="334"/>
      <c r="N94" s="334"/>
      <c r="O94" s="447"/>
      <c r="P94" s="313"/>
      <c r="Q94" s="348"/>
      <c r="R94" s="349"/>
      <c r="S94" s="349"/>
      <c r="T94" s="448"/>
      <c r="U94" s="349"/>
      <c r="V94" s="349"/>
      <c r="W94" s="349"/>
      <c r="X94" s="349"/>
      <c r="Y94" s="349"/>
      <c r="Z94" s="349"/>
      <c r="AA94" s="349"/>
      <c r="AB94" s="349"/>
      <c r="AC94" s="349"/>
      <c r="AD94" s="313"/>
      <c r="AV94" s="313"/>
      <c r="AW94" s="313"/>
      <c r="AX94" s="313"/>
      <c r="AY94" s="313"/>
      <c r="AZ94" s="313"/>
      <c r="BA94" s="313"/>
      <c r="BB94" s="313"/>
      <c r="BC94" s="313"/>
      <c r="BD94" s="313"/>
      <c r="BE94" s="313"/>
      <c r="BF94" s="313"/>
    </row>
    <row r="95" spans="1:58" ht="30" customHeight="1" x14ac:dyDescent="0.2">
      <c r="A95" s="1504" t="s">
        <v>56</v>
      </c>
      <c r="B95" s="1505"/>
      <c r="C95" s="1041" t="s">
        <v>572</v>
      </c>
      <c r="D95" s="1032"/>
      <c r="E95" s="1028"/>
      <c r="F95" s="635">
        <v>598.11699999999996</v>
      </c>
      <c r="G95" s="412">
        <v>0.1</v>
      </c>
      <c r="H95" s="412">
        <v>1.4450000000000001</v>
      </c>
      <c r="I95" s="695">
        <v>7.9000000000000001E-2</v>
      </c>
      <c r="J95" s="1042">
        <v>2</v>
      </c>
      <c r="K95" s="1051">
        <v>43980</v>
      </c>
      <c r="L95" s="1515" t="s">
        <v>447</v>
      </c>
      <c r="M95" s="334"/>
      <c r="N95" s="334"/>
      <c r="O95" s="447"/>
      <c r="P95" s="313"/>
      <c r="Q95" s="348"/>
      <c r="R95" s="349"/>
      <c r="S95" s="349"/>
      <c r="T95" s="448"/>
      <c r="U95" s="349"/>
      <c r="V95" s="349"/>
      <c r="W95" s="349"/>
      <c r="X95" s="349"/>
      <c r="Y95" s="349"/>
      <c r="Z95" s="349"/>
      <c r="AA95" s="349"/>
      <c r="AB95" s="349"/>
      <c r="AC95" s="349"/>
      <c r="AD95" s="313"/>
      <c r="AV95" s="313"/>
      <c r="AW95" s="313"/>
      <c r="AX95" s="313"/>
      <c r="AY95" s="313"/>
      <c r="AZ95" s="313"/>
      <c r="BA95" s="313"/>
      <c r="BB95" s="313"/>
      <c r="BC95" s="313"/>
      <c r="BD95" s="313"/>
      <c r="BE95" s="313"/>
      <c r="BF95" s="313"/>
    </row>
    <row r="96" spans="1:58" ht="30" customHeight="1" x14ac:dyDescent="0.2">
      <c r="A96" s="1504"/>
      <c r="B96" s="1505"/>
      <c r="C96" s="1041" t="s">
        <v>573</v>
      </c>
      <c r="D96" s="1032"/>
      <c r="E96" s="1028"/>
      <c r="F96" s="664">
        <v>752.82</v>
      </c>
      <c r="G96" s="429">
        <v>0.1</v>
      </c>
      <c r="H96" s="696">
        <v>0.95399999999999996</v>
      </c>
      <c r="I96" s="666">
        <v>8.4000000000000005E-2</v>
      </c>
      <c r="J96" s="1044">
        <v>2</v>
      </c>
      <c r="K96" s="1051">
        <v>43980</v>
      </c>
      <c r="L96" s="1507" t="s">
        <v>197</v>
      </c>
      <c r="M96" s="334"/>
      <c r="N96" s="334"/>
      <c r="O96" s="447"/>
      <c r="P96" s="313"/>
      <c r="Q96" s="348"/>
      <c r="R96" s="349"/>
      <c r="S96" s="349"/>
      <c r="T96" s="448"/>
      <c r="U96" s="349"/>
      <c r="V96" s="349"/>
      <c r="W96" s="349"/>
      <c r="X96" s="349"/>
      <c r="Y96" s="349"/>
      <c r="Z96" s="349"/>
      <c r="AA96" s="349"/>
      <c r="AB96" s="349"/>
      <c r="AC96" s="349"/>
      <c r="AD96" s="313"/>
      <c r="AV96" s="313"/>
      <c r="AW96" s="313"/>
      <c r="AX96" s="313"/>
      <c r="AY96" s="313"/>
      <c r="AZ96" s="313"/>
      <c r="BA96" s="313"/>
      <c r="BB96" s="313"/>
      <c r="BC96" s="313"/>
      <c r="BD96" s="313"/>
      <c r="BE96" s="313"/>
      <c r="BF96" s="313"/>
    </row>
    <row r="97" spans="1:58" ht="30" customHeight="1" thickBot="1" x14ac:dyDescent="0.25">
      <c r="A97" s="1513"/>
      <c r="B97" s="1514"/>
      <c r="C97" s="1041" t="s">
        <v>574</v>
      </c>
      <c r="D97" s="1033"/>
      <c r="E97" s="1029"/>
      <c r="F97" s="667">
        <v>848.553</v>
      </c>
      <c r="G97" s="431">
        <v>0.1</v>
      </c>
      <c r="H97" s="431">
        <v>0.70399999999999996</v>
      </c>
      <c r="I97" s="669">
        <v>9.5000000000000001E-2</v>
      </c>
      <c r="J97" s="1045">
        <v>2</v>
      </c>
      <c r="K97" s="1051">
        <v>43980</v>
      </c>
      <c r="L97" s="1516"/>
      <c r="M97" s="334"/>
      <c r="N97" s="334"/>
      <c r="O97" s="447"/>
      <c r="P97" s="313"/>
      <c r="Q97" s="348"/>
      <c r="R97" s="349"/>
      <c r="S97" s="349"/>
      <c r="T97" s="448"/>
      <c r="U97" s="349"/>
      <c r="V97" s="349"/>
      <c r="W97" s="349"/>
      <c r="X97" s="349"/>
      <c r="Y97" s="349"/>
      <c r="Z97" s="349"/>
      <c r="AA97" s="349"/>
      <c r="AB97" s="349"/>
      <c r="AC97" s="349"/>
      <c r="AD97" s="313"/>
      <c r="AV97" s="313"/>
      <c r="AW97" s="313"/>
      <c r="AX97" s="313"/>
      <c r="AY97" s="313"/>
      <c r="AZ97" s="313"/>
      <c r="BA97" s="313"/>
      <c r="BB97" s="313"/>
      <c r="BC97" s="313"/>
      <c r="BD97" s="313"/>
      <c r="BE97" s="313"/>
      <c r="BF97" s="313"/>
    </row>
    <row r="98" spans="1:58" ht="30" customHeight="1" x14ac:dyDescent="0.2">
      <c r="A98" s="313"/>
      <c r="B98" s="465"/>
      <c r="C98" s="313"/>
      <c r="D98" s="313"/>
      <c r="E98" s="334"/>
      <c r="F98" s="334"/>
      <c r="G98" s="334"/>
      <c r="H98" s="334"/>
      <c r="I98" s="334"/>
      <c r="J98" s="334"/>
      <c r="K98" s="334"/>
      <c r="L98" s="334"/>
      <c r="M98" s="334"/>
      <c r="N98" s="334"/>
      <c r="O98" s="447"/>
      <c r="P98" s="313"/>
      <c r="Q98" s="348"/>
      <c r="R98" s="349"/>
      <c r="S98" s="349"/>
      <c r="T98" s="448"/>
      <c r="U98" s="349"/>
      <c r="V98" s="349"/>
      <c r="W98" s="349"/>
      <c r="X98" s="349"/>
      <c r="Y98" s="349"/>
      <c r="Z98" s="349"/>
      <c r="AA98" s="349"/>
      <c r="AB98" s="349"/>
      <c r="AC98" s="349"/>
      <c r="AD98" s="313"/>
      <c r="AV98" s="313"/>
      <c r="AW98" s="313"/>
      <c r="AX98" s="313"/>
      <c r="AY98" s="313"/>
      <c r="AZ98" s="313"/>
      <c r="BA98" s="313"/>
      <c r="BB98" s="313"/>
      <c r="BC98" s="313"/>
      <c r="BD98" s="313"/>
      <c r="BE98" s="313"/>
      <c r="BF98" s="313"/>
    </row>
    <row r="99" spans="1:58" ht="30" customHeight="1" thickBot="1" x14ac:dyDescent="0.25">
      <c r="A99" s="313"/>
      <c r="B99" s="465"/>
      <c r="C99" s="467"/>
      <c r="D99" s="466"/>
      <c r="E99" s="468"/>
      <c r="F99" s="366"/>
      <c r="G99" s="366"/>
      <c r="H99" s="366"/>
      <c r="I99" s="366"/>
      <c r="J99" s="366"/>
      <c r="K99" s="461"/>
      <c r="L99" s="334"/>
      <c r="M99" s="334"/>
      <c r="N99" s="334"/>
      <c r="O99" s="447"/>
      <c r="P99" s="313"/>
      <c r="Q99" s="348"/>
      <c r="R99" s="349"/>
      <c r="S99" s="349"/>
      <c r="T99" s="448"/>
      <c r="U99" s="349"/>
      <c r="V99" s="349"/>
      <c r="W99" s="349"/>
      <c r="X99" s="349"/>
      <c r="Y99" s="349"/>
      <c r="Z99" s="349"/>
      <c r="AA99" s="349"/>
      <c r="AB99" s="349"/>
      <c r="AC99" s="349"/>
      <c r="AD99" s="313"/>
      <c r="AV99" s="313"/>
      <c r="AW99" s="313"/>
      <c r="AX99" s="313"/>
      <c r="AY99" s="313"/>
      <c r="AZ99" s="313"/>
      <c r="BA99" s="313"/>
      <c r="BB99" s="313"/>
      <c r="BC99" s="313"/>
      <c r="BD99" s="313"/>
      <c r="BE99" s="313"/>
      <c r="BF99" s="313"/>
    </row>
    <row r="100" spans="1:58" ht="30" customHeight="1" thickBot="1" x14ac:dyDescent="0.25">
      <c r="A100" s="1519" t="s">
        <v>17</v>
      </c>
      <c r="B100" s="1520"/>
      <c r="C100" s="1041" t="s">
        <v>575</v>
      </c>
      <c r="D100" s="1031" t="s">
        <v>169</v>
      </c>
      <c r="E100" s="1039" t="s">
        <v>219</v>
      </c>
      <c r="F100" s="635">
        <v>15.1</v>
      </c>
      <c r="G100" s="412">
        <v>0.1</v>
      </c>
      <c r="H100" s="636">
        <v>0.2</v>
      </c>
      <c r="I100" s="697">
        <v>0.3</v>
      </c>
      <c r="J100" s="1042">
        <v>2</v>
      </c>
      <c r="K100" s="1050">
        <v>44019</v>
      </c>
      <c r="L100" s="1517" t="s">
        <v>450</v>
      </c>
      <c r="M100" s="334"/>
      <c r="N100" s="334"/>
      <c r="O100" s="1523" t="s">
        <v>222</v>
      </c>
      <c r="P100" s="486" t="s">
        <v>1</v>
      </c>
      <c r="Q100" s="728" t="s">
        <v>352</v>
      </c>
      <c r="R100" s="728" t="s">
        <v>12</v>
      </c>
      <c r="S100" s="1500" t="s">
        <v>453</v>
      </c>
      <c r="T100" s="1517" t="s">
        <v>454</v>
      </c>
      <c r="U100" s="349"/>
      <c r="V100" s="349"/>
      <c r="W100" s="349"/>
      <c r="X100" s="349"/>
      <c r="Y100" s="349"/>
      <c r="Z100" s="349"/>
      <c r="AA100" s="349"/>
      <c r="AB100" s="349"/>
      <c r="AC100" s="349"/>
      <c r="AD100" s="313"/>
      <c r="AV100" s="313"/>
      <c r="AW100" s="313"/>
      <c r="AX100" s="313"/>
      <c r="AY100" s="313"/>
      <c r="AZ100" s="313"/>
      <c r="BA100" s="313"/>
      <c r="BB100" s="313"/>
      <c r="BC100" s="313"/>
      <c r="BD100" s="313"/>
      <c r="BE100" s="313"/>
      <c r="BF100" s="313"/>
    </row>
    <row r="101" spans="1:58" ht="30" customHeight="1" thickBot="1" x14ac:dyDescent="0.25">
      <c r="A101" s="1521"/>
      <c r="B101" s="1522"/>
      <c r="C101" s="1041" t="s">
        <v>576</v>
      </c>
      <c r="D101" s="1032"/>
      <c r="E101" s="1035"/>
      <c r="F101" s="646">
        <v>24.8</v>
      </c>
      <c r="G101" s="429">
        <v>0.1</v>
      </c>
      <c r="H101" s="647">
        <v>-0.1</v>
      </c>
      <c r="I101" s="698">
        <v>0.2</v>
      </c>
      <c r="J101" s="1044">
        <v>2</v>
      </c>
      <c r="K101" s="1050">
        <v>44019</v>
      </c>
      <c r="L101" s="1507"/>
      <c r="M101" s="334"/>
      <c r="N101" s="334"/>
      <c r="O101" s="1524"/>
      <c r="P101" s="720">
        <f>MAX(I100:I102)</f>
        <v>0.3</v>
      </c>
      <c r="Q101" s="729">
        <f>MAX(I103:I105)</f>
        <v>1.7</v>
      </c>
      <c r="R101" s="729">
        <f>MAX(I106:I108)</f>
        <v>9.9000000000000005E-2</v>
      </c>
      <c r="S101" s="1501"/>
      <c r="T101" s="1506"/>
      <c r="U101" s="349"/>
      <c r="V101" s="349"/>
      <c r="W101" s="349"/>
      <c r="X101" s="349"/>
      <c r="Y101" s="349"/>
      <c r="Z101" s="349"/>
      <c r="AA101" s="349"/>
      <c r="AB101" s="349"/>
      <c r="AC101" s="349"/>
      <c r="AD101" s="313"/>
      <c r="AV101" s="313"/>
      <c r="AW101" s="313"/>
      <c r="AX101" s="313"/>
      <c r="AY101" s="313"/>
      <c r="AZ101" s="313"/>
      <c r="BA101" s="313"/>
      <c r="BB101" s="313"/>
      <c r="BC101" s="313"/>
      <c r="BD101" s="313"/>
      <c r="BE101" s="313"/>
      <c r="BF101" s="313"/>
    </row>
    <row r="102" spans="1:58" ht="30" customHeight="1" thickBot="1" x14ac:dyDescent="0.25">
      <c r="A102" s="1521"/>
      <c r="B102" s="1522"/>
      <c r="C102" s="1041" t="s">
        <v>577</v>
      </c>
      <c r="D102" s="1032"/>
      <c r="E102" s="1035"/>
      <c r="F102" s="641">
        <v>29.7</v>
      </c>
      <c r="G102" s="431">
        <v>0.1</v>
      </c>
      <c r="H102" s="649">
        <v>-0.3</v>
      </c>
      <c r="I102" s="699">
        <v>0.2</v>
      </c>
      <c r="J102" s="1045">
        <v>2</v>
      </c>
      <c r="K102" s="1050">
        <v>44019</v>
      </c>
      <c r="L102" s="1507"/>
      <c r="M102" s="334"/>
      <c r="N102" s="334"/>
      <c r="O102" s="1525"/>
      <c r="P102" s="730"/>
      <c r="Q102" s="731"/>
      <c r="R102" s="731"/>
      <c r="S102" s="1502"/>
      <c r="T102" s="1518"/>
      <c r="U102" s="349"/>
      <c r="V102" s="349"/>
      <c r="W102" s="349"/>
      <c r="X102" s="349"/>
      <c r="Y102" s="349"/>
      <c r="Z102" s="349"/>
      <c r="AA102" s="349"/>
      <c r="AB102" s="349"/>
      <c r="AC102" s="349"/>
      <c r="AD102" s="313"/>
      <c r="AV102" s="313"/>
      <c r="AW102" s="313"/>
      <c r="AX102" s="313"/>
      <c r="AY102" s="313"/>
      <c r="AZ102" s="313"/>
      <c r="BA102" s="313"/>
      <c r="BB102" s="313"/>
      <c r="BC102" s="313"/>
      <c r="BD102" s="313"/>
      <c r="BE102" s="313"/>
      <c r="BF102" s="313"/>
    </row>
    <row r="103" spans="1:58" ht="30" customHeight="1" x14ac:dyDescent="0.2">
      <c r="A103" s="1504" t="s">
        <v>212</v>
      </c>
      <c r="B103" s="1505"/>
      <c r="C103" s="1041" t="s">
        <v>578</v>
      </c>
      <c r="D103" s="1032"/>
      <c r="E103" s="1035"/>
      <c r="F103" s="635">
        <v>33.200000000000003</v>
      </c>
      <c r="G103" s="412">
        <v>0.1</v>
      </c>
      <c r="H103" s="412">
        <v>-3.2</v>
      </c>
      <c r="I103" s="692">
        <v>1.7</v>
      </c>
      <c r="J103" s="1042">
        <v>2</v>
      </c>
      <c r="K103" s="1051">
        <v>44020</v>
      </c>
      <c r="L103" s="1506" t="s">
        <v>451</v>
      </c>
      <c r="M103" s="334"/>
      <c r="N103" s="334"/>
      <c r="O103" s="447"/>
      <c r="P103" s="313"/>
      <c r="Q103" s="348"/>
      <c r="R103" s="349"/>
      <c r="S103" s="349"/>
      <c r="T103" s="448"/>
      <c r="U103" s="349"/>
      <c r="V103" s="349"/>
      <c r="W103" s="349"/>
      <c r="X103" s="349"/>
      <c r="Y103" s="349"/>
      <c r="Z103" s="349"/>
      <c r="AA103" s="349"/>
      <c r="AB103" s="349"/>
      <c r="AC103" s="349"/>
      <c r="AD103" s="313"/>
      <c r="AV103" s="313"/>
      <c r="AW103" s="313"/>
      <c r="AX103" s="313"/>
      <c r="AY103" s="313"/>
      <c r="AZ103" s="313"/>
      <c r="BA103" s="313"/>
      <c r="BB103" s="313"/>
      <c r="BC103" s="313"/>
      <c r="BD103" s="313"/>
      <c r="BE103" s="313"/>
      <c r="BF103" s="313"/>
    </row>
    <row r="104" spans="1:58" ht="30" customHeight="1" x14ac:dyDescent="0.2">
      <c r="A104" s="1504"/>
      <c r="B104" s="1505"/>
      <c r="C104" s="1041" t="s">
        <v>579</v>
      </c>
      <c r="D104" s="1032"/>
      <c r="E104" s="1035"/>
      <c r="F104" s="637">
        <v>51.4</v>
      </c>
      <c r="G104" s="429">
        <v>0.1</v>
      </c>
      <c r="H104" s="429">
        <v>-1.5</v>
      </c>
      <c r="I104" s="700">
        <v>1.7</v>
      </c>
      <c r="J104" s="1044">
        <v>2</v>
      </c>
      <c r="K104" s="1051">
        <v>44020</v>
      </c>
      <c r="L104" s="1507"/>
      <c r="M104" s="334"/>
      <c r="N104" s="334"/>
      <c r="O104" s="447"/>
      <c r="P104" s="313"/>
      <c r="Q104" s="348"/>
      <c r="R104" s="349"/>
      <c r="S104" s="349"/>
      <c r="T104" s="448"/>
      <c r="U104" s="349"/>
      <c r="V104" s="349"/>
      <c r="W104" s="349"/>
      <c r="X104" s="349"/>
      <c r="Y104" s="349"/>
      <c r="Z104" s="349"/>
      <c r="AA104" s="349"/>
      <c r="AB104" s="349"/>
      <c r="AC104" s="349"/>
      <c r="AD104" s="313"/>
      <c r="AV104" s="313"/>
      <c r="AW104" s="313"/>
      <c r="AX104" s="313"/>
      <c r="AY104" s="313"/>
      <c r="AZ104" s="313"/>
      <c r="BA104" s="313"/>
      <c r="BB104" s="313"/>
      <c r="BC104" s="313"/>
      <c r="BD104" s="313"/>
      <c r="BE104" s="313"/>
      <c r="BF104" s="313"/>
    </row>
    <row r="105" spans="1:58" ht="30" customHeight="1" thickBot="1" x14ac:dyDescent="0.25">
      <c r="A105" s="1504"/>
      <c r="B105" s="1505"/>
      <c r="C105" s="1041" t="s">
        <v>580</v>
      </c>
      <c r="D105" s="1032"/>
      <c r="E105" s="1035"/>
      <c r="F105" s="648">
        <v>77.599999999999994</v>
      </c>
      <c r="G105" s="431">
        <v>0.1</v>
      </c>
      <c r="H105" s="431">
        <v>2.5</v>
      </c>
      <c r="I105" s="701">
        <v>1.7</v>
      </c>
      <c r="J105" s="1045">
        <v>2</v>
      </c>
      <c r="K105" s="1051">
        <v>44020</v>
      </c>
      <c r="L105" s="1507"/>
      <c r="M105" s="334"/>
      <c r="N105" s="334"/>
      <c r="O105" s="447"/>
      <c r="P105" s="313"/>
      <c r="Q105" s="348"/>
      <c r="R105" s="349"/>
      <c r="S105" s="349"/>
      <c r="T105" s="448"/>
      <c r="U105" s="349"/>
      <c r="V105" s="349"/>
      <c r="W105" s="349"/>
      <c r="X105" s="349"/>
      <c r="Y105" s="349"/>
      <c r="Z105" s="349"/>
      <c r="AA105" s="349"/>
      <c r="AB105" s="349"/>
      <c r="AC105" s="349"/>
      <c r="AD105" s="313"/>
      <c r="AV105" s="313"/>
      <c r="AW105" s="313"/>
      <c r="AX105" s="313"/>
      <c r="AY105" s="313"/>
      <c r="AZ105" s="313"/>
      <c r="BA105" s="313"/>
      <c r="BB105" s="313"/>
      <c r="BC105" s="313"/>
      <c r="BD105" s="313"/>
      <c r="BE105" s="313"/>
      <c r="BF105" s="313"/>
    </row>
    <row r="106" spans="1:58" ht="30" customHeight="1" x14ac:dyDescent="0.2">
      <c r="A106" s="1504" t="s">
        <v>56</v>
      </c>
      <c r="B106" s="1505"/>
      <c r="C106" s="1041" t="s">
        <v>581</v>
      </c>
      <c r="D106" s="1032"/>
      <c r="E106" s="1028"/>
      <c r="F106" s="702">
        <v>598.08199999999999</v>
      </c>
      <c r="G106" s="638">
        <v>0.1</v>
      </c>
      <c r="H106" s="638">
        <v>1.4830000000000001</v>
      </c>
      <c r="I106" s="703">
        <v>0.08</v>
      </c>
      <c r="J106" s="1042">
        <v>2</v>
      </c>
      <c r="K106" s="1051">
        <v>43980</v>
      </c>
      <c r="L106" s="1515" t="s">
        <v>452</v>
      </c>
      <c r="M106" s="334"/>
      <c r="N106" s="334"/>
      <c r="O106" s="447"/>
      <c r="P106" s="313"/>
      <c r="Q106" s="348"/>
      <c r="R106" s="349"/>
      <c r="S106" s="349"/>
      <c r="T106" s="448"/>
      <c r="U106" s="349"/>
      <c r="V106" s="349"/>
      <c r="W106" s="349"/>
      <c r="X106" s="349"/>
      <c r="Y106" s="349"/>
      <c r="Z106" s="349"/>
      <c r="AA106" s="349"/>
      <c r="AB106" s="349"/>
      <c r="AC106" s="349"/>
      <c r="AD106" s="313"/>
      <c r="AV106" s="313"/>
      <c r="AW106" s="313"/>
      <c r="AX106" s="313"/>
      <c r="AY106" s="313"/>
      <c r="AZ106" s="313"/>
      <c r="BA106" s="313"/>
      <c r="BB106" s="313"/>
      <c r="BC106" s="313"/>
      <c r="BD106" s="313"/>
      <c r="BE106" s="313"/>
      <c r="BF106" s="313"/>
    </row>
    <row r="107" spans="1:58" ht="30" customHeight="1" x14ac:dyDescent="0.2">
      <c r="A107" s="1504"/>
      <c r="B107" s="1505"/>
      <c r="C107" s="1041" t="s">
        <v>582</v>
      </c>
      <c r="D107" s="1032"/>
      <c r="E107" s="1028"/>
      <c r="F107" s="637">
        <v>752.79499999999996</v>
      </c>
      <c r="G107" s="429">
        <v>0.1</v>
      </c>
      <c r="H107" s="436">
        <v>0.97299999999999998</v>
      </c>
      <c r="I107" s="666">
        <v>8.4000000000000005E-2</v>
      </c>
      <c r="J107" s="1044">
        <v>2</v>
      </c>
      <c r="K107" s="1051">
        <v>43980</v>
      </c>
      <c r="L107" s="1507" t="s">
        <v>220</v>
      </c>
      <c r="M107" s="334"/>
      <c r="N107" s="334"/>
      <c r="O107" s="447"/>
      <c r="P107" s="313"/>
      <c r="Q107" s="348"/>
      <c r="R107" s="349"/>
      <c r="S107" s="349"/>
      <c r="T107" s="448"/>
      <c r="U107" s="349"/>
      <c r="V107" s="349"/>
      <c r="W107" s="349"/>
      <c r="X107" s="349"/>
      <c r="Y107" s="349"/>
      <c r="Z107" s="349"/>
      <c r="AA107" s="349"/>
      <c r="AB107" s="349"/>
      <c r="AC107" s="349"/>
      <c r="AD107" s="313"/>
      <c r="AV107" s="313"/>
      <c r="AW107" s="313"/>
      <c r="AX107" s="313"/>
      <c r="AY107" s="313"/>
      <c r="AZ107" s="313"/>
      <c r="BA107" s="313"/>
      <c r="BB107" s="313"/>
      <c r="BC107" s="313"/>
      <c r="BD107" s="313"/>
      <c r="BE107" s="313"/>
      <c r="BF107" s="313"/>
    </row>
    <row r="108" spans="1:58" ht="30" customHeight="1" thickBot="1" x14ac:dyDescent="0.25">
      <c r="A108" s="1513"/>
      <c r="B108" s="1514"/>
      <c r="C108" s="1041" t="s">
        <v>583</v>
      </c>
      <c r="D108" s="1033"/>
      <c r="E108" s="1029"/>
      <c r="F108" s="667">
        <v>848.6</v>
      </c>
      <c r="G108" s="431">
        <v>0.1</v>
      </c>
      <c r="H108" s="431">
        <v>0.65600000000000003</v>
      </c>
      <c r="I108" s="669">
        <v>9.9000000000000005E-2</v>
      </c>
      <c r="J108" s="1045">
        <v>2</v>
      </c>
      <c r="K108" s="1051">
        <v>43980</v>
      </c>
      <c r="L108" s="1516" t="s">
        <v>221</v>
      </c>
      <c r="M108" s="334"/>
      <c r="N108" s="334"/>
      <c r="O108" s="469"/>
      <c r="P108" s="470"/>
      <c r="Q108" s="471"/>
      <c r="R108" s="472"/>
      <c r="S108" s="472"/>
      <c r="T108" s="473"/>
      <c r="U108" s="349"/>
      <c r="V108" s="349"/>
      <c r="W108" s="349"/>
      <c r="X108" s="349"/>
      <c r="Y108" s="349"/>
      <c r="Z108" s="349"/>
      <c r="AA108" s="349"/>
      <c r="AB108" s="349"/>
      <c r="AC108" s="349"/>
      <c r="AD108" s="313"/>
      <c r="AV108" s="313"/>
      <c r="AW108" s="313"/>
      <c r="AX108" s="313"/>
      <c r="AY108" s="313"/>
      <c r="AZ108" s="313"/>
      <c r="BA108" s="313"/>
      <c r="BB108" s="313"/>
      <c r="BC108" s="313"/>
      <c r="BD108" s="313"/>
      <c r="BE108" s="313"/>
      <c r="BF108" s="313"/>
    </row>
    <row r="109" spans="1:58" ht="30" customHeight="1" thickBot="1" x14ac:dyDescent="0.25">
      <c r="A109" s="384"/>
      <c r="B109" s="313"/>
      <c r="C109" s="313"/>
      <c r="D109" s="313"/>
      <c r="E109" s="313"/>
      <c r="F109" s="313"/>
      <c r="G109" s="313"/>
      <c r="H109" s="313"/>
      <c r="I109" s="313"/>
      <c r="J109" s="313"/>
      <c r="K109" s="386"/>
      <c r="L109" s="313"/>
      <c r="M109" s="334"/>
      <c r="N109" s="334"/>
      <c r="O109" s="349"/>
      <c r="W109" s="349"/>
      <c r="X109" s="349"/>
      <c r="Y109" s="349"/>
      <c r="Z109" s="349"/>
      <c r="AA109" s="349"/>
      <c r="AB109" s="349"/>
      <c r="AC109" s="349"/>
      <c r="AD109" s="313"/>
      <c r="AV109" s="313"/>
      <c r="AW109" s="313"/>
      <c r="AX109" s="313"/>
      <c r="AY109" s="313"/>
      <c r="AZ109" s="313"/>
      <c r="BA109" s="313"/>
      <c r="BB109" s="313"/>
      <c r="BC109" s="313"/>
      <c r="BD109" s="313"/>
      <c r="BE109" s="313"/>
      <c r="BF109" s="313"/>
    </row>
    <row r="110" spans="1:58" ht="30" customHeight="1" thickBot="1" x14ac:dyDescent="0.25">
      <c r="A110" s="384"/>
      <c r="B110" s="1480" t="s">
        <v>196</v>
      </c>
      <c r="C110" s="1481"/>
      <c r="D110" s="1508"/>
      <c r="E110" s="1508"/>
      <c r="F110" s="1508"/>
      <c r="G110" s="1508"/>
      <c r="H110" s="1508"/>
      <c r="I110" s="1508"/>
      <c r="J110" s="1508"/>
      <c r="K110" s="1508"/>
      <c r="L110" s="1508"/>
      <c r="M110" s="1508"/>
      <c r="N110" s="1508"/>
      <c r="O110" s="1508"/>
      <c r="P110" s="1508"/>
      <c r="Q110" s="1508"/>
      <c r="R110" s="1508"/>
      <c r="S110" s="1508"/>
      <c r="T110" s="1508"/>
      <c r="U110" s="1508"/>
      <c r="V110" s="1508"/>
      <c r="W110" s="1509"/>
      <c r="X110" s="349"/>
      <c r="Y110" s="349"/>
      <c r="Z110" s="349"/>
      <c r="AA110" s="349"/>
      <c r="AB110" s="349"/>
      <c r="AC110" s="349"/>
      <c r="AD110" s="313"/>
      <c r="AV110" s="313"/>
      <c r="AW110" s="313"/>
      <c r="AX110" s="313"/>
      <c r="AY110" s="313"/>
      <c r="AZ110" s="313"/>
      <c r="BA110" s="313"/>
      <c r="BB110" s="313"/>
      <c r="BC110" s="313"/>
      <c r="BD110" s="313"/>
      <c r="BE110" s="313"/>
      <c r="BF110" s="313"/>
    </row>
    <row r="111" spans="1:58" ht="60" customHeight="1" thickBot="1" x14ac:dyDescent="0.25">
      <c r="A111" s="384"/>
      <c r="B111" s="1487" t="s">
        <v>107</v>
      </c>
      <c r="C111" s="474"/>
      <c r="D111" s="475" t="s">
        <v>26</v>
      </c>
      <c r="E111" s="476" t="s">
        <v>164</v>
      </c>
      <c r="F111" s="476" t="s">
        <v>163</v>
      </c>
      <c r="G111" s="476" t="s">
        <v>101</v>
      </c>
      <c r="H111" s="476" t="s">
        <v>135</v>
      </c>
      <c r="I111" s="476" t="s">
        <v>99</v>
      </c>
      <c r="J111" s="476" t="s">
        <v>136</v>
      </c>
      <c r="K111" s="477" t="s">
        <v>100</v>
      </c>
      <c r="L111" s="476" t="s">
        <v>286</v>
      </c>
      <c r="M111" s="476" t="s">
        <v>332</v>
      </c>
      <c r="N111" s="476" t="s">
        <v>366</v>
      </c>
      <c r="O111" s="476" t="s">
        <v>367</v>
      </c>
      <c r="P111" s="478" t="s">
        <v>365</v>
      </c>
      <c r="Q111" s="476" t="s">
        <v>368</v>
      </c>
      <c r="R111" s="476" t="s">
        <v>369</v>
      </c>
      <c r="S111" s="478" t="s">
        <v>365</v>
      </c>
      <c r="T111" s="476" t="s">
        <v>370</v>
      </c>
      <c r="U111" s="476" t="s">
        <v>371</v>
      </c>
      <c r="V111" s="478" t="s">
        <v>365</v>
      </c>
      <c r="W111" s="479" t="s">
        <v>433</v>
      </c>
      <c r="X111" s="349"/>
      <c r="Y111" s="349"/>
      <c r="Z111" s="349"/>
      <c r="AA111" s="349"/>
      <c r="AB111" s="349"/>
      <c r="AC111" s="1480" t="s">
        <v>279</v>
      </c>
      <c r="AD111" s="1481"/>
      <c r="AE111" s="1481"/>
      <c r="AF111" s="1482"/>
      <c r="AG111" s="349"/>
      <c r="AH111" s="1477" t="s">
        <v>280</v>
      </c>
      <c r="AI111" s="1478"/>
      <c r="AV111" s="313"/>
      <c r="AW111" s="313"/>
      <c r="AX111" s="313"/>
      <c r="AY111" s="313"/>
      <c r="AZ111" s="313"/>
      <c r="BA111" s="313"/>
      <c r="BB111" s="313"/>
      <c r="BC111" s="313"/>
      <c r="BD111" s="313"/>
      <c r="BE111" s="313"/>
      <c r="BF111" s="313"/>
    </row>
    <row r="112" spans="1:58" ht="30" customHeight="1" thickBot="1" x14ac:dyDescent="0.25">
      <c r="A112" s="384"/>
      <c r="B112" s="1488"/>
      <c r="C112" s="480"/>
      <c r="D112" s="387"/>
      <c r="E112" s="406"/>
      <c r="F112" s="406"/>
      <c r="G112" s="406"/>
      <c r="H112" s="406"/>
      <c r="I112" s="406"/>
      <c r="J112" s="406"/>
      <c r="K112" s="434"/>
      <c r="L112" s="434"/>
      <c r="M112" s="434"/>
      <c r="N112" s="407"/>
      <c r="O112" s="481"/>
      <c r="P112" s="387"/>
      <c r="Q112" s="387"/>
      <c r="R112" s="387"/>
      <c r="S112" s="387"/>
      <c r="T112" s="406"/>
      <c r="U112" s="406"/>
      <c r="V112" s="406"/>
      <c r="W112" s="408"/>
      <c r="AA112" s="349"/>
      <c r="AB112" s="349"/>
      <c r="AC112" s="1483" t="s">
        <v>484</v>
      </c>
      <c r="AD112" s="1484"/>
      <c r="AE112" s="1484"/>
      <c r="AF112" s="1485"/>
      <c r="AG112" s="349"/>
      <c r="AH112" s="482"/>
      <c r="AI112" s="483"/>
      <c r="AV112" s="313"/>
      <c r="AW112" s="313"/>
      <c r="AX112" s="313"/>
      <c r="AY112" s="313"/>
      <c r="AZ112" s="313"/>
      <c r="BA112" s="313"/>
      <c r="BB112" s="313"/>
      <c r="BC112" s="313"/>
      <c r="BD112" s="313"/>
      <c r="BE112" s="313"/>
      <c r="BF112" s="313"/>
    </row>
    <row r="113" spans="1:58" ht="33.950000000000003" customHeight="1" thickBot="1" x14ac:dyDescent="0.25">
      <c r="A113" s="384"/>
      <c r="B113" s="1489"/>
      <c r="C113" s="484" t="s">
        <v>123</v>
      </c>
      <c r="D113" s="390" t="s">
        <v>238</v>
      </c>
      <c r="E113" s="390" t="s">
        <v>238</v>
      </c>
      <c r="F113" s="390" t="s">
        <v>238</v>
      </c>
      <c r="G113" s="390" t="s">
        <v>238</v>
      </c>
      <c r="H113" s="390" t="s">
        <v>238</v>
      </c>
      <c r="I113" s="390" t="s">
        <v>238</v>
      </c>
      <c r="J113" s="390" t="s">
        <v>238</v>
      </c>
      <c r="K113" s="390" t="s">
        <v>238</v>
      </c>
      <c r="L113" s="390" t="s">
        <v>238</v>
      </c>
      <c r="M113" s="390" t="s">
        <v>336</v>
      </c>
      <c r="N113" s="485"/>
      <c r="O113" s="486"/>
      <c r="P113" s="487">
        <f>+N113-O113</f>
        <v>0</v>
      </c>
      <c r="Q113" s="486"/>
      <c r="R113" s="486"/>
      <c r="S113" s="487">
        <f>+Q113-R113</f>
        <v>0</v>
      </c>
      <c r="T113" s="486"/>
      <c r="U113" s="486"/>
      <c r="V113" s="487">
        <f>+T113-U113</f>
        <v>0</v>
      </c>
      <c r="W113" s="488">
        <f>ABS(MAX(P113,S113,V113))</f>
        <v>0</v>
      </c>
      <c r="AA113" s="349"/>
      <c r="AB113" s="349"/>
      <c r="AC113" s="489" t="s">
        <v>137</v>
      </c>
      <c r="AD113" s="490" t="s">
        <v>457</v>
      </c>
      <c r="AE113" s="491" t="s">
        <v>153</v>
      </c>
      <c r="AF113" s="492" t="s">
        <v>2</v>
      </c>
      <c r="AG113" s="349"/>
      <c r="AH113" s="309" t="s">
        <v>139</v>
      </c>
      <c r="AI113" s="739" t="s">
        <v>7</v>
      </c>
      <c r="AV113" s="313"/>
      <c r="AW113" s="313"/>
      <c r="AX113" s="313"/>
      <c r="AY113" s="313"/>
      <c r="AZ113" s="313"/>
      <c r="BA113" s="313"/>
      <c r="BB113" s="313"/>
      <c r="BC113" s="313"/>
      <c r="BD113" s="313"/>
      <c r="BE113" s="313"/>
      <c r="BF113" s="313"/>
    </row>
    <row r="114" spans="1:58" ht="33.950000000000003" customHeight="1" x14ac:dyDescent="0.2">
      <c r="A114" s="384"/>
      <c r="B114" s="1489"/>
      <c r="C114" s="493" t="s">
        <v>124</v>
      </c>
      <c r="D114" s="339" t="s">
        <v>170</v>
      </c>
      <c r="E114" s="339">
        <v>27760</v>
      </c>
      <c r="F114" s="339">
        <v>5.0199999999999996</v>
      </c>
      <c r="G114" s="339">
        <v>0.05</v>
      </c>
      <c r="H114" s="339">
        <v>0.02</v>
      </c>
      <c r="I114" s="339">
        <v>3.7999999999999999E-2</v>
      </c>
      <c r="J114" s="494">
        <v>2</v>
      </c>
      <c r="K114" s="495">
        <v>43027</v>
      </c>
      <c r="L114" s="496" t="s">
        <v>199</v>
      </c>
      <c r="M114" s="339" t="s">
        <v>333</v>
      </c>
      <c r="N114" s="497">
        <v>0.51</v>
      </c>
      <c r="O114" s="497">
        <v>0.5</v>
      </c>
      <c r="P114" s="498">
        <f>N114-O114</f>
        <v>1.0000000000000009E-2</v>
      </c>
      <c r="Q114" s="499">
        <v>2.52</v>
      </c>
      <c r="R114" s="499">
        <v>2.5099999999999998</v>
      </c>
      <c r="S114" s="498">
        <f>Q114-R114</f>
        <v>1.0000000000000231E-2</v>
      </c>
      <c r="T114" s="499">
        <v>5.0199999999999996</v>
      </c>
      <c r="U114" s="499">
        <v>5.0199999999999996</v>
      </c>
      <c r="V114" s="498">
        <f>T114-U114</f>
        <v>0</v>
      </c>
      <c r="W114" s="500">
        <f>ABS(MAX(P114,S114,V114))</f>
        <v>1.0000000000000231E-2</v>
      </c>
      <c r="AA114" s="349"/>
      <c r="AB114" s="349"/>
      <c r="AC114" s="501"/>
      <c r="AD114" s="502"/>
      <c r="AE114" s="502"/>
      <c r="AF114" s="503"/>
      <c r="AG114" s="349"/>
      <c r="AH114" s="504" t="s">
        <v>403</v>
      </c>
      <c r="AI114" s="505"/>
      <c r="AV114" s="313"/>
      <c r="AW114" s="313"/>
      <c r="AX114" s="313"/>
      <c r="AY114" s="313"/>
      <c r="AZ114" s="313"/>
      <c r="BA114" s="313"/>
      <c r="BB114" s="313"/>
      <c r="BC114" s="313"/>
      <c r="BD114" s="313"/>
      <c r="BE114" s="313"/>
      <c r="BF114" s="313"/>
    </row>
    <row r="115" spans="1:58" ht="33.950000000000003" customHeight="1" x14ac:dyDescent="0.2">
      <c r="A115" s="384"/>
      <c r="B115" s="1489"/>
      <c r="C115" s="493" t="s">
        <v>125</v>
      </c>
      <c r="D115" s="339" t="s">
        <v>238</v>
      </c>
      <c r="E115" s="339" t="s">
        <v>238</v>
      </c>
      <c r="F115" s="339" t="s">
        <v>238</v>
      </c>
      <c r="G115" s="339" t="s">
        <v>238</v>
      </c>
      <c r="H115" s="339" t="s">
        <v>238</v>
      </c>
      <c r="I115" s="339" t="s">
        <v>238</v>
      </c>
      <c r="J115" s="339" t="s">
        <v>238</v>
      </c>
      <c r="K115" s="495" t="s">
        <v>238</v>
      </c>
      <c r="L115" s="496" t="s">
        <v>238</v>
      </c>
      <c r="M115" s="339" t="s">
        <v>336</v>
      </c>
      <c r="N115" s="506"/>
      <c r="O115" s="499"/>
      <c r="P115" s="498">
        <f>+N115-O115</f>
        <v>0</v>
      </c>
      <c r="Q115" s="499"/>
      <c r="R115" s="499"/>
      <c r="S115" s="498">
        <f>+Q115-R115</f>
        <v>0</v>
      </c>
      <c r="T115" s="499"/>
      <c r="U115" s="499"/>
      <c r="V115" s="498">
        <f>+T115-U115</f>
        <v>0</v>
      </c>
      <c r="W115" s="500">
        <f>ABS(MAX(P115,S115,V115))</f>
        <v>0</v>
      </c>
      <c r="AA115" s="349"/>
      <c r="AB115" s="349"/>
      <c r="AC115" s="1069" t="s">
        <v>458</v>
      </c>
      <c r="AD115" s="998">
        <v>0.25</v>
      </c>
      <c r="AE115" s="998">
        <v>80</v>
      </c>
      <c r="AF115" s="1070">
        <f>AF116/2</f>
        <v>4.0967649999999995</v>
      </c>
      <c r="AG115" s="349"/>
      <c r="AH115" s="493">
        <v>316</v>
      </c>
      <c r="AI115" s="505">
        <v>4.7700000000000001E-5</v>
      </c>
      <c r="AV115" s="313"/>
      <c r="AW115" s="313"/>
      <c r="AX115" s="313"/>
      <c r="AY115" s="313"/>
      <c r="AZ115" s="313"/>
      <c r="BA115" s="313"/>
      <c r="BB115" s="313"/>
      <c r="BC115" s="313"/>
      <c r="BD115" s="313"/>
      <c r="BE115" s="313"/>
      <c r="BF115" s="313"/>
    </row>
    <row r="116" spans="1:58" ht="33.950000000000003" customHeight="1" x14ac:dyDescent="0.2">
      <c r="A116" s="384"/>
      <c r="B116" s="1489"/>
      <c r="C116" s="493" t="s">
        <v>126</v>
      </c>
      <c r="D116" s="339" t="s">
        <v>170</v>
      </c>
      <c r="E116" s="339">
        <v>27761</v>
      </c>
      <c r="F116" s="339">
        <v>10.02</v>
      </c>
      <c r="G116" s="339">
        <v>0.1</v>
      </c>
      <c r="H116" s="339">
        <v>0.02</v>
      </c>
      <c r="I116" s="339">
        <v>6.7000000000000004E-2</v>
      </c>
      <c r="J116" s="494">
        <v>2</v>
      </c>
      <c r="K116" s="495">
        <v>43020</v>
      </c>
      <c r="L116" s="496" t="s">
        <v>200</v>
      </c>
      <c r="M116" s="339" t="s">
        <v>334</v>
      </c>
      <c r="N116" s="506">
        <v>1</v>
      </c>
      <c r="O116" s="499">
        <v>1.0069999999999999</v>
      </c>
      <c r="P116" s="498">
        <f>N116-O116</f>
        <v>-6.9999999999998952E-3</v>
      </c>
      <c r="Q116" s="499">
        <v>5.01</v>
      </c>
      <c r="R116" s="499">
        <v>5.0140000000000002</v>
      </c>
      <c r="S116" s="498">
        <f>+Q116-R116</f>
        <v>-4.0000000000004476E-3</v>
      </c>
      <c r="T116" s="499">
        <v>10.02</v>
      </c>
      <c r="U116" s="499">
        <v>10.022</v>
      </c>
      <c r="V116" s="498">
        <f>+T116-U116</f>
        <v>-2.0000000000006679E-3</v>
      </c>
      <c r="W116" s="500">
        <f>ABS(MAX(P116,S116,V116))</f>
        <v>2.0000000000006679E-3</v>
      </c>
      <c r="AA116" s="349"/>
      <c r="AB116" s="349"/>
      <c r="AC116" s="1069" t="s">
        <v>459</v>
      </c>
      <c r="AD116" s="998">
        <v>0.5</v>
      </c>
      <c r="AE116" s="998">
        <v>40</v>
      </c>
      <c r="AF116" s="1070">
        <f>AF117/2</f>
        <v>8.1935299999999991</v>
      </c>
      <c r="AG116" s="349"/>
      <c r="AH116" s="493">
        <v>304</v>
      </c>
      <c r="AI116" s="505">
        <v>5.1799999999999999E-5</v>
      </c>
      <c r="AV116" s="313"/>
      <c r="AW116" s="313"/>
      <c r="AX116" s="313"/>
      <c r="AY116" s="313"/>
      <c r="AZ116" s="313"/>
      <c r="BA116" s="313"/>
      <c r="BB116" s="313"/>
      <c r="BC116" s="313"/>
      <c r="BD116" s="313"/>
      <c r="BE116" s="313"/>
      <c r="BF116" s="313"/>
    </row>
    <row r="117" spans="1:58" ht="33.950000000000003" customHeight="1" thickBot="1" x14ac:dyDescent="0.25">
      <c r="A117" s="384"/>
      <c r="B117" s="1490"/>
      <c r="C117" s="507" t="s">
        <v>127</v>
      </c>
      <c r="D117" s="396" t="s">
        <v>170</v>
      </c>
      <c r="E117" s="396">
        <v>27762</v>
      </c>
      <c r="F117" s="396">
        <v>24.9</v>
      </c>
      <c r="G117" s="396">
        <v>0.1</v>
      </c>
      <c r="H117" s="396">
        <v>-0.1</v>
      </c>
      <c r="I117" s="396">
        <v>6.5000000000000002E-2</v>
      </c>
      <c r="J117" s="398">
        <v>2</v>
      </c>
      <c r="K117" s="508">
        <v>43025</v>
      </c>
      <c r="L117" s="397" t="s">
        <v>201</v>
      </c>
      <c r="M117" s="396" t="s">
        <v>335</v>
      </c>
      <c r="N117" s="509">
        <v>2.48</v>
      </c>
      <c r="O117" s="509">
        <v>2.48</v>
      </c>
      <c r="P117" s="510">
        <f>N117-O117</f>
        <v>0</v>
      </c>
      <c r="Q117" s="511">
        <v>12.5</v>
      </c>
      <c r="R117" s="511">
        <v>12.5</v>
      </c>
      <c r="S117" s="510">
        <f>Q117-R117</f>
        <v>0</v>
      </c>
      <c r="T117" s="511">
        <v>24.9</v>
      </c>
      <c r="U117" s="511">
        <v>24.8</v>
      </c>
      <c r="V117" s="510">
        <f>T117-U117</f>
        <v>9.9999999999997868E-2</v>
      </c>
      <c r="W117" s="512">
        <f>ABS(MAX(P117,S117,V117))</f>
        <v>9.9999999999997868E-2</v>
      </c>
      <c r="AA117" s="349"/>
      <c r="AB117" s="349"/>
      <c r="AC117" s="1069" t="s">
        <v>460</v>
      </c>
      <c r="AD117" s="998">
        <v>1</v>
      </c>
      <c r="AE117" s="998">
        <v>20</v>
      </c>
      <c r="AF117" s="1070">
        <v>16.387059999999998</v>
      </c>
      <c r="AG117" s="349"/>
      <c r="AH117" s="493"/>
      <c r="AI117" s="505"/>
      <c r="AV117" s="313"/>
      <c r="AW117" s="313"/>
      <c r="AX117" s="313"/>
      <c r="AY117" s="313"/>
      <c r="AZ117" s="313"/>
      <c r="BA117" s="313"/>
      <c r="BB117" s="313"/>
      <c r="BC117" s="313"/>
      <c r="BD117" s="313"/>
      <c r="BE117" s="313"/>
      <c r="BF117" s="313"/>
    </row>
    <row r="118" spans="1:58" ht="30" customHeight="1" thickBot="1" x14ac:dyDescent="0.25">
      <c r="A118" s="384"/>
      <c r="B118" s="313"/>
      <c r="C118" s="313"/>
      <c r="D118" s="313"/>
      <c r="E118" s="313"/>
      <c r="F118" s="313"/>
      <c r="G118" s="313"/>
      <c r="H118" s="313"/>
      <c r="I118" s="313"/>
      <c r="J118" s="313"/>
      <c r="K118" s="386"/>
      <c r="L118" s="313"/>
      <c r="M118" s="334"/>
      <c r="N118" s="334"/>
      <c r="O118" s="349"/>
      <c r="T118" s="349"/>
      <c r="U118" s="349"/>
      <c r="V118" s="349"/>
      <c r="AA118" s="349"/>
      <c r="AB118" s="349"/>
      <c r="AC118" s="1071" t="s">
        <v>209</v>
      </c>
      <c r="AD118" s="1021">
        <v>0.57999999999999996</v>
      </c>
      <c r="AE118" s="1021">
        <v>40</v>
      </c>
      <c r="AF118" s="1072">
        <v>9.4635274999999996</v>
      </c>
      <c r="AG118" s="349"/>
      <c r="AH118" s="507"/>
      <c r="AI118" s="513"/>
      <c r="AV118" s="313"/>
      <c r="AW118" s="313"/>
      <c r="AX118" s="313"/>
      <c r="AY118" s="313"/>
      <c r="AZ118" s="313"/>
      <c r="BA118" s="313"/>
      <c r="BB118" s="313"/>
      <c r="BC118" s="313"/>
      <c r="BD118" s="313"/>
      <c r="BE118" s="313"/>
      <c r="BF118" s="313"/>
    </row>
    <row r="119" spans="1:58" ht="30" customHeight="1" thickBot="1" x14ac:dyDescent="0.25">
      <c r="A119" s="384"/>
      <c r="B119" s="1480" t="s">
        <v>196</v>
      </c>
      <c r="C119" s="1481"/>
      <c r="D119" s="1508"/>
      <c r="E119" s="1508"/>
      <c r="F119" s="1508"/>
      <c r="G119" s="1508"/>
      <c r="H119" s="1508"/>
      <c r="I119" s="1508"/>
      <c r="J119" s="1508"/>
      <c r="K119" s="1508"/>
      <c r="L119" s="1508"/>
      <c r="M119" s="1508"/>
      <c r="N119" s="1508"/>
      <c r="O119" s="1508"/>
      <c r="P119" s="1508"/>
      <c r="Q119" s="1508"/>
      <c r="R119" s="1508"/>
      <c r="S119" s="1508"/>
      <c r="T119" s="1508"/>
      <c r="U119" s="1508"/>
      <c r="V119" s="1508"/>
      <c r="W119" s="1508"/>
      <c r="X119" s="1508"/>
      <c r="Y119" s="1508"/>
      <c r="Z119" s="1508"/>
      <c r="AA119" s="1509"/>
      <c r="AB119" s="349"/>
      <c r="AC119" s="349"/>
      <c r="AD119" s="313"/>
      <c r="AV119" s="313"/>
      <c r="AW119" s="313"/>
      <c r="AX119" s="313"/>
      <c r="AY119" s="313"/>
      <c r="AZ119" s="313"/>
      <c r="BA119" s="313"/>
      <c r="BB119" s="313"/>
      <c r="BC119" s="313"/>
      <c r="BD119" s="313"/>
      <c r="BE119" s="313"/>
      <c r="BF119" s="313"/>
    </row>
    <row r="120" spans="1:58" ht="60" customHeight="1" thickBot="1" x14ac:dyDescent="0.25">
      <c r="A120" s="384"/>
      <c r="B120" s="1487" t="s">
        <v>108</v>
      </c>
      <c r="C120" s="474"/>
      <c r="D120" s="311" t="s">
        <v>26</v>
      </c>
      <c r="E120" s="89" t="s">
        <v>162</v>
      </c>
      <c r="F120" s="89" t="s">
        <v>163</v>
      </c>
      <c r="G120" s="89" t="s">
        <v>101</v>
      </c>
      <c r="H120" s="89" t="s">
        <v>135</v>
      </c>
      <c r="I120" s="89" t="s">
        <v>99</v>
      </c>
      <c r="J120" s="89" t="s">
        <v>136</v>
      </c>
      <c r="K120" s="403" t="s">
        <v>100</v>
      </c>
      <c r="L120" s="89" t="s">
        <v>286</v>
      </c>
      <c r="M120" s="89" t="s">
        <v>332</v>
      </c>
      <c r="N120" s="1486" t="s">
        <v>154</v>
      </c>
      <c r="O120" s="1486"/>
      <c r="P120" s="89" t="s">
        <v>281</v>
      </c>
      <c r="Q120" s="89" t="s">
        <v>282</v>
      </c>
      <c r="R120" s="89" t="s">
        <v>366</v>
      </c>
      <c r="S120" s="89" t="s">
        <v>367</v>
      </c>
      <c r="T120" s="149" t="s">
        <v>365</v>
      </c>
      <c r="U120" s="89" t="s">
        <v>368</v>
      </c>
      <c r="V120" s="89" t="s">
        <v>369</v>
      </c>
      <c r="W120" s="149" t="s">
        <v>365</v>
      </c>
      <c r="X120" s="89" t="s">
        <v>370</v>
      </c>
      <c r="Y120" s="89" t="s">
        <v>371</v>
      </c>
      <c r="Z120" s="149" t="s">
        <v>365</v>
      </c>
      <c r="AA120" s="90" t="s">
        <v>433</v>
      </c>
      <c r="AB120" s="349"/>
      <c r="AC120" s="349"/>
      <c r="AD120" s="313"/>
      <c r="AV120" s="313"/>
      <c r="AW120" s="313"/>
      <c r="AX120" s="313"/>
      <c r="AY120" s="313"/>
      <c r="AZ120" s="313"/>
      <c r="BA120" s="313"/>
      <c r="BB120" s="313"/>
      <c r="BC120" s="313"/>
      <c r="BD120" s="313"/>
      <c r="BE120" s="313"/>
      <c r="BF120" s="313"/>
    </row>
    <row r="121" spans="1:58" ht="30" customHeight="1" thickBot="1" x14ac:dyDescent="0.25">
      <c r="A121" s="384"/>
      <c r="B121" s="1488"/>
      <c r="C121" s="474"/>
      <c r="D121" s="313"/>
      <c r="E121" s="376"/>
      <c r="F121" s="376"/>
      <c r="G121" s="376"/>
      <c r="H121" s="376"/>
      <c r="I121" s="376"/>
      <c r="J121" s="376"/>
      <c r="K121" s="423"/>
      <c r="L121" s="313"/>
      <c r="M121" s="423"/>
      <c r="N121" s="349"/>
      <c r="O121" s="366"/>
      <c r="P121" s="366"/>
      <c r="Q121" s="349"/>
      <c r="R121" s="334"/>
      <c r="S121" s="349"/>
      <c r="T121" s="313"/>
      <c r="U121" s="313"/>
      <c r="V121" s="313"/>
      <c r="W121" s="313"/>
      <c r="X121" s="376"/>
      <c r="Y121" s="376"/>
      <c r="Z121" s="376"/>
      <c r="AA121" s="514"/>
      <c r="AB121" s="349"/>
      <c r="AC121" s="349"/>
      <c r="AD121" s="313"/>
      <c r="AV121" s="313"/>
      <c r="AW121" s="313"/>
      <c r="AX121" s="313"/>
      <c r="AY121" s="313"/>
      <c r="AZ121" s="313"/>
      <c r="BA121" s="313"/>
      <c r="BB121" s="313"/>
      <c r="BC121" s="313"/>
      <c r="BD121" s="313"/>
      <c r="BE121" s="313"/>
      <c r="BF121" s="313"/>
    </row>
    <row r="122" spans="1:58" ht="33.950000000000003" customHeight="1" x14ac:dyDescent="0.2">
      <c r="A122" s="384"/>
      <c r="B122" s="1489"/>
      <c r="C122" s="484" t="s">
        <v>128</v>
      </c>
      <c r="D122" s="390" t="s">
        <v>171</v>
      </c>
      <c r="E122" s="390" t="s">
        <v>202</v>
      </c>
      <c r="F122" s="390" t="s">
        <v>322</v>
      </c>
      <c r="G122" s="515">
        <v>1</v>
      </c>
      <c r="H122" s="390">
        <v>0.27</v>
      </c>
      <c r="I122" s="391">
        <v>0.17</v>
      </c>
      <c r="J122" s="391">
        <v>2.1</v>
      </c>
      <c r="K122" s="516">
        <v>42523</v>
      </c>
      <c r="L122" s="517" t="s">
        <v>198</v>
      </c>
      <c r="M122" s="390" t="s">
        <v>372</v>
      </c>
      <c r="N122" s="390">
        <v>10</v>
      </c>
      <c r="O122" s="390">
        <v>100</v>
      </c>
      <c r="P122" s="390">
        <v>10.3</v>
      </c>
      <c r="Q122" s="390">
        <v>100.24</v>
      </c>
      <c r="R122" s="486">
        <v>21.21</v>
      </c>
      <c r="S122" s="486">
        <v>50</v>
      </c>
      <c r="T122" s="487">
        <f>R122-S122</f>
        <v>-28.79</v>
      </c>
      <c r="U122" s="486">
        <v>60.81</v>
      </c>
      <c r="V122" s="486">
        <v>250.071</v>
      </c>
      <c r="W122" s="487">
        <f>U122-V122</f>
        <v>-189.261</v>
      </c>
      <c r="X122" s="486">
        <v>100.27</v>
      </c>
      <c r="Y122" s="486">
        <v>500.66699999999997</v>
      </c>
      <c r="Z122" s="487">
        <f>X122-Y122</f>
        <v>-400.39699999999999</v>
      </c>
      <c r="AA122" s="488">
        <f t="shared" ref="AA122:AA127" si="0">ABS(MAX(T122,W122,Z122))</f>
        <v>28.79</v>
      </c>
      <c r="AB122" s="349"/>
      <c r="AC122" s="349"/>
      <c r="AD122" s="313"/>
      <c r="AV122" s="313"/>
      <c r="AW122" s="313"/>
      <c r="AX122" s="313"/>
      <c r="AY122" s="313"/>
      <c r="AZ122" s="313"/>
      <c r="BA122" s="313"/>
      <c r="BB122" s="313"/>
      <c r="BC122" s="313"/>
      <c r="BD122" s="313"/>
      <c r="BE122" s="313"/>
      <c r="BF122" s="313"/>
    </row>
    <row r="123" spans="1:58" ht="33.950000000000003" customHeight="1" x14ac:dyDescent="0.2">
      <c r="A123" s="384"/>
      <c r="B123" s="1489"/>
      <c r="C123" s="493" t="s">
        <v>129</v>
      </c>
      <c r="D123" s="339" t="s">
        <v>170</v>
      </c>
      <c r="E123" s="339">
        <v>27755</v>
      </c>
      <c r="F123" s="339">
        <v>499.68</v>
      </c>
      <c r="G123" s="494">
        <v>5</v>
      </c>
      <c r="H123" s="339">
        <v>-0.32</v>
      </c>
      <c r="I123" s="339">
        <v>2.9</v>
      </c>
      <c r="J123" s="494">
        <v>2</v>
      </c>
      <c r="K123" s="495">
        <v>43010</v>
      </c>
      <c r="L123" s="339" t="s">
        <v>203</v>
      </c>
      <c r="M123" s="339" t="s">
        <v>373</v>
      </c>
      <c r="N123" s="339">
        <v>50</v>
      </c>
      <c r="O123" s="339">
        <v>500</v>
      </c>
      <c r="P123" s="339">
        <v>50.14</v>
      </c>
      <c r="Q123" s="339">
        <v>499.68</v>
      </c>
      <c r="R123" s="499">
        <v>50.14</v>
      </c>
      <c r="S123" s="499">
        <v>50</v>
      </c>
      <c r="T123" s="498">
        <f>R123-S123</f>
        <v>0.14000000000000057</v>
      </c>
      <c r="U123" s="499">
        <v>249.77</v>
      </c>
      <c r="V123" s="499">
        <v>250.071</v>
      </c>
      <c r="W123" s="498">
        <f>U123-V123</f>
        <v>-0.30099999999998772</v>
      </c>
      <c r="X123" s="499">
        <v>499.68</v>
      </c>
      <c r="Y123" s="499">
        <v>500.66699999999997</v>
      </c>
      <c r="Z123" s="498">
        <f>X123-Y123</f>
        <v>-0.98699999999996635</v>
      </c>
      <c r="AA123" s="500">
        <f t="shared" si="0"/>
        <v>0.14000000000000057</v>
      </c>
      <c r="AV123" s="313"/>
      <c r="AW123" s="313"/>
      <c r="AX123" s="313"/>
      <c r="AY123" s="313"/>
      <c r="AZ123" s="313"/>
      <c r="BA123" s="313"/>
      <c r="BB123" s="313"/>
      <c r="BC123" s="313"/>
      <c r="BD123" s="313"/>
      <c r="BE123" s="313"/>
      <c r="BF123" s="313"/>
    </row>
    <row r="124" spans="1:58" ht="33.950000000000003" customHeight="1" x14ac:dyDescent="0.2">
      <c r="A124" s="384"/>
      <c r="B124" s="1489"/>
      <c r="C124" s="493" t="s">
        <v>130</v>
      </c>
      <c r="D124" s="339" t="s">
        <v>238</v>
      </c>
      <c r="E124" s="339" t="s">
        <v>238</v>
      </c>
      <c r="F124" s="339" t="s">
        <v>238</v>
      </c>
      <c r="G124" s="339" t="s">
        <v>238</v>
      </c>
      <c r="H124" s="339" t="s">
        <v>238</v>
      </c>
      <c r="I124" s="339" t="s">
        <v>238</v>
      </c>
      <c r="J124" s="339" t="s">
        <v>238</v>
      </c>
      <c r="K124" s="339" t="s">
        <v>238</v>
      </c>
      <c r="L124" s="339" t="s">
        <v>238</v>
      </c>
      <c r="M124" s="339" t="s">
        <v>238</v>
      </c>
      <c r="N124" s="339" t="s">
        <v>238</v>
      </c>
      <c r="O124" s="339" t="s">
        <v>238</v>
      </c>
      <c r="P124" s="339" t="s">
        <v>238</v>
      </c>
      <c r="Q124" s="339" t="s">
        <v>238</v>
      </c>
      <c r="R124" s="506"/>
      <c r="S124" s="499"/>
      <c r="T124" s="498">
        <f>+R124-S124</f>
        <v>0</v>
      </c>
      <c r="U124" s="499"/>
      <c r="V124" s="499"/>
      <c r="W124" s="498">
        <f>+U124-V124</f>
        <v>0</v>
      </c>
      <c r="X124" s="499"/>
      <c r="Y124" s="499"/>
      <c r="Z124" s="498">
        <f>+X124-Y124</f>
        <v>0</v>
      </c>
      <c r="AA124" s="500">
        <f t="shared" si="0"/>
        <v>0</v>
      </c>
      <c r="AV124" s="313"/>
      <c r="AW124" s="313"/>
      <c r="AX124" s="313"/>
      <c r="AY124" s="313"/>
      <c r="AZ124" s="313"/>
      <c r="BA124" s="313"/>
      <c r="BB124" s="313"/>
      <c r="BC124" s="313"/>
      <c r="BD124" s="313"/>
      <c r="BE124" s="313"/>
      <c r="BF124" s="313"/>
    </row>
    <row r="125" spans="1:58" ht="33.950000000000003" customHeight="1" x14ac:dyDescent="0.2">
      <c r="A125" s="384"/>
      <c r="B125" s="1489"/>
      <c r="C125" s="493" t="s">
        <v>131</v>
      </c>
      <c r="D125" s="339" t="s">
        <v>170</v>
      </c>
      <c r="E125" s="339">
        <v>27757</v>
      </c>
      <c r="F125" s="339">
        <v>500.46</v>
      </c>
      <c r="G125" s="494">
        <v>5</v>
      </c>
      <c r="H125" s="339">
        <v>0.46</v>
      </c>
      <c r="I125" s="339">
        <v>2.9</v>
      </c>
      <c r="J125" s="494">
        <v>2</v>
      </c>
      <c r="K125" s="495">
        <v>43017</v>
      </c>
      <c r="L125" s="339" t="s">
        <v>204</v>
      </c>
      <c r="M125" s="339" t="s">
        <v>373</v>
      </c>
      <c r="N125" s="339">
        <v>50</v>
      </c>
      <c r="O125" s="339">
        <v>500</v>
      </c>
      <c r="P125" s="518">
        <v>50.7</v>
      </c>
      <c r="Q125" s="339">
        <v>500.46</v>
      </c>
      <c r="R125" s="499">
        <v>50.7</v>
      </c>
      <c r="S125" s="499">
        <v>50</v>
      </c>
      <c r="T125" s="498">
        <f>R125-S125</f>
        <v>0.70000000000000284</v>
      </c>
      <c r="U125" s="499">
        <v>250.64</v>
      </c>
      <c r="V125" s="499">
        <v>250.071</v>
      </c>
      <c r="W125" s="498">
        <f>+U125-V125</f>
        <v>0.5689999999999884</v>
      </c>
      <c r="X125" s="499">
        <v>500.46</v>
      </c>
      <c r="Y125" s="499">
        <v>500.66699999999997</v>
      </c>
      <c r="Z125" s="498">
        <f>X125-Y125</f>
        <v>-0.20699999999999363</v>
      </c>
      <c r="AA125" s="500">
        <f t="shared" si="0"/>
        <v>0.70000000000000284</v>
      </c>
      <c r="AV125" s="313"/>
      <c r="AW125" s="313"/>
      <c r="AX125" s="313"/>
      <c r="AY125" s="313"/>
      <c r="AZ125" s="313"/>
      <c r="BA125" s="313"/>
      <c r="BB125" s="313"/>
      <c r="BC125" s="313"/>
      <c r="BD125" s="313"/>
      <c r="BE125" s="313"/>
      <c r="BF125" s="313"/>
    </row>
    <row r="126" spans="1:58" ht="33.950000000000003" customHeight="1" x14ac:dyDescent="0.2">
      <c r="A126" s="384"/>
      <c r="B126" s="1489"/>
      <c r="C126" s="493" t="s">
        <v>132</v>
      </c>
      <c r="D126" s="339" t="s">
        <v>170</v>
      </c>
      <c r="E126" s="339">
        <v>27758</v>
      </c>
      <c r="F126" s="339">
        <v>500.34800000000001</v>
      </c>
      <c r="G126" s="494">
        <v>5</v>
      </c>
      <c r="H126" s="339">
        <v>0.34799999999999998</v>
      </c>
      <c r="I126" s="339">
        <v>3.5000000000000003E-2</v>
      </c>
      <c r="J126" s="339">
        <v>2</v>
      </c>
      <c r="K126" s="495">
        <v>42769</v>
      </c>
      <c r="L126" s="339" t="s">
        <v>205</v>
      </c>
      <c r="M126" s="339" t="s">
        <v>374</v>
      </c>
      <c r="N126" s="339">
        <v>100</v>
      </c>
      <c r="O126" s="339">
        <v>500</v>
      </c>
      <c r="P126" s="339">
        <v>100.286</v>
      </c>
      <c r="Q126" s="339">
        <v>500.34800000000001</v>
      </c>
      <c r="R126" s="499">
        <v>50.14</v>
      </c>
      <c r="S126" s="499">
        <v>50</v>
      </c>
      <c r="T126" s="498">
        <f>R126-S126</f>
        <v>0.14000000000000057</v>
      </c>
      <c r="U126" s="499">
        <v>249.77</v>
      </c>
      <c r="V126" s="499">
        <v>250.071</v>
      </c>
      <c r="W126" s="498">
        <f>U126-V126</f>
        <v>-0.30099999999998772</v>
      </c>
      <c r="X126" s="499">
        <v>499.68</v>
      </c>
      <c r="Y126" s="499">
        <v>500.66699999999997</v>
      </c>
      <c r="Z126" s="498">
        <f>X126-Y126</f>
        <v>-0.98699999999996635</v>
      </c>
      <c r="AA126" s="500">
        <f t="shared" si="0"/>
        <v>0.14000000000000057</v>
      </c>
      <c r="AV126" s="313"/>
      <c r="AW126" s="313"/>
      <c r="AX126" s="313"/>
      <c r="AY126" s="313"/>
      <c r="AZ126" s="313"/>
      <c r="BA126" s="313"/>
      <c r="BB126" s="313"/>
      <c r="BC126" s="313"/>
      <c r="BD126" s="313"/>
      <c r="BE126" s="313"/>
      <c r="BF126" s="313"/>
    </row>
    <row r="127" spans="1:58" ht="33.950000000000003" customHeight="1" thickBot="1" x14ac:dyDescent="0.25">
      <c r="A127" s="384"/>
      <c r="B127" s="1490"/>
      <c r="C127" s="507" t="s">
        <v>133</v>
      </c>
      <c r="D127" s="396" t="s">
        <v>170</v>
      </c>
      <c r="E127" s="396">
        <v>27759</v>
      </c>
      <c r="F127" s="396">
        <v>1000.625</v>
      </c>
      <c r="G127" s="398">
        <v>10</v>
      </c>
      <c r="H127" s="396">
        <v>0.625</v>
      </c>
      <c r="I127" s="396">
        <v>3.9E-2</v>
      </c>
      <c r="J127" s="396">
        <v>2</v>
      </c>
      <c r="K127" s="508">
        <v>42769</v>
      </c>
      <c r="L127" s="396" t="s">
        <v>206</v>
      </c>
      <c r="M127" s="396" t="s">
        <v>375</v>
      </c>
      <c r="N127" s="396">
        <v>200</v>
      </c>
      <c r="O127" s="396">
        <v>1000</v>
      </c>
      <c r="P127" s="396">
        <v>201.202</v>
      </c>
      <c r="Q127" s="396">
        <v>1000.625</v>
      </c>
      <c r="R127" s="511">
        <v>50.14</v>
      </c>
      <c r="S127" s="511">
        <v>50</v>
      </c>
      <c r="T127" s="510">
        <f>R127-S127</f>
        <v>0.14000000000000057</v>
      </c>
      <c r="U127" s="511">
        <v>249.77</v>
      </c>
      <c r="V127" s="511">
        <v>250.071</v>
      </c>
      <c r="W127" s="510">
        <f>U127-V127</f>
        <v>-0.30099999999998772</v>
      </c>
      <c r="X127" s="511">
        <v>499.68</v>
      </c>
      <c r="Y127" s="511">
        <v>500.66699999999997</v>
      </c>
      <c r="Z127" s="510">
        <f>X127-Y127</f>
        <v>-0.98699999999996635</v>
      </c>
      <c r="AA127" s="512">
        <f t="shared" si="0"/>
        <v>0.14000000000000057</v>
      </c>
      <c r="AV127" s="313"/>
      <c r="AW127" s="313"/>
      <c r="AX127" s="313"/>
      <c r="AY127" s="313"/>
      <c r="AZ127" s="313"/>
      <c r="BA127" s="313"/>
      <c r="BB127" s="313"/>
      <c r="BC127" s="313"/>
      <c r="BD127" s="313"/>
      <c r="BE127" s="313"/>
      <c r="BF127" s="313"/>
    </row>
    <row r="128" spans="1:58" ht="30" customHeight="1" thickBot="1" x14ac:dyDescent="0.25">
      <c r="A128" s="384"/>
      <c r="B128" s="313"/>
      <c r="C128" s="313"/>
      <c r="D128" s="313"/>
      <c r="E128" s="313"/>
      <c r="F128" s="313"/>
      <c r="G128" s="313"/>
      <c r="H128" s="313"/>
      <c r="I128" s="313"/>
      <c r="J128" s="313"/>
      <c r="K128" s="386"/>
      <c r="L128" s="313"/>
      <c r="M128" s="334"/>
      <c r="N128" s="334"/>
      <c r="O128" s="1479"/>
      <c r="P128" s="1479"/>
      <c r="Q128" s="1479"/>
      <c r="S128" s="468"/>
      <c r="T128" s="366"/>
      <c r="U128" s="366"/>
      <c r="V128" s="519"/>
      <c r="AV128" s="313"/>
      <c r="AW128" s="313"/>
      <c r="AX128" s="313"/>
      <c r="AY128" s="313"/>
      <c r="AZ128" s="313"/>
      <c r="BA128" s="313"/>
      <c r="BB128" s="313"/>
      <c r="BC128" s="313"/>
      <c r="BD128" s="313"/>
      <c r="BE128" s="313"/>
      <c r="BF128" s="313"/>
    </row>
    <row r="129" spans="1:58" ht="30" customHeight="1" thickBot="1" x14ac:dyDescent="0.25">
      <c r="A129" s="384"/>
      <c r="B129" s="1494" t="s">
        <v>113</v>
      </c>
      <c r="C129" s="1495"/>
      <c r="D129" s="1526"/>
      <c r="E129" s="1526"/>
      <c r="F129" s="1526"/>
      <c r="G129" s="1526"/>
      <c r="H129" s="1526"/>
      <c r="I129" s="1526"/>
      <c r="J129" s="1526"/>
      <c r="K129" s="1526"/>
      <c r="L129" s="1527"/>
      <c r="M129" s="334"/>
      <c r="N129" s="405"/>
      <c r="O129" s="405"/>
      <c r="P129" s="405"/>
      <c r="Q129" s="366"/>
      <c r="S129" s="520"/>
      <c r="T129" s="366"/>
      <c r="U129" s="366"/>
      <c r="V129" s="519"/>
      <c r="AV129" s="313"/>
      <c r="AW129" s="313"/>
      <c r="AX129" s="313"/>
      <c r="AY129" s="313"/>
      <c r="AZ129" s="313"/>
      <c r="BA129" s="313"/>
      <c r="BB129" s="313"/>
      <c r="BC129" s="313"/>
      <c r="BD129" s="313"/>
      <c r="BE129" s="313"/>
      <c r="BF129" s="313"/>
    </row>
    <row r="130" spans="1:58" ht="60" customHeight="1" thickBot="1" x14ac:dyDescent="0.25">
      <c r="A130" s="384"/>
      <c r="B130" s="1510" t="s">
        <v>283</v>
      </c>
      <c r="C130" s="480"/>
      <c r="D130" s="311" t="s">
        <v>26</v>
      </c>
      <c r="E130" s="89" t="s">
        <v>164</v>
      </c>
      <c r="F130" s="89" t="s">
        <v>163</v>
      </c>
      <c r="G130" s="89" t="s">
        <v>101</v>
      </c>
      <c r="H130" s="89" t="s">
        <v>135</v>
      </c>
      <c r="I130" s="89" t="s">
        <v>99</v>
      </c>
      <c r="J130" s="89" t="s">
        <v>136</v>
      </c>
      <c r="K130" s="403" t="s">
        <v>100</v>
      </c>
      <c r="L130" s="90" t="s">
        <v>286</v>
      </c>
      <c r="M130" s="334"/>
      <c r="N130" s="468"/>
      <c r="O130" s="366"/>
      <c r="P130" s="366"/>
      <c r="Q130" s="519"/>
      <c r="S130" s="366"/>
      <c r="T130" s="366"/>
      <c r="U130" s="521"/>
      <c r="V130" s="522"/>
      <c r="W130" s="349"/>
      <c r="AV130" s="313"/>
      <c r="AW130" s="313"/>
      <c r="AX130" s="313"/>
      <c r="AY130" s="313"/>
      <c r="AZ130" s="313"/>
      <c r="BA130" s="313"/>
      <c r="BB130" s="313"/>
      <c r="BC130" s="313"/>
      <c r="BD130" s="313"/>
      <c r="BE130" s="313"/>
      <c r="BF130" s="313"/>
    </row>
    <row r="131" spans="1:58" ht="30" customHeight="1" thickBot="1" x14ac:dyDescent="0.25">
      <c r="A131" s="384"/>
      <c r="B131" s="1511"/>
      <c r="C131" s="480"/>
      <c r="D131" s="523"/>
      <c r="E131" s="524"/>
      <c r="F131" s="524"/>
      <c r="G131" s="524"/>
      <c r="H131" s="524"/>
      <c r="I131" s="524"/>
      <c r="J131" s="524"/>
      <c r="K131" s="525"/>
      <c r="L131" s="526"/>
      <c r="M131" s="334"/>
      <c r="N131" s="468"/>
      <c r="O131" s="366"/>
      <c r="P131" s="366"/>
      <c r="Q131" s="519"/>
      <c r="R131" s="349"/>
      <c r="S131" s="334"/>
      <c r="T131" s="433"/>
      <c r="U131" s="433"/>
      <c r="V131" s="433"/>
      <c r="W131" s="349"/>
      <c r="X131" s="349"/>
      <c r="Y131" s="349"/>
      <c r="Z131" s="349"/>
      <c r="AA131" s="349"/>
      <c r="AB131" s="349"/>
      <c r="AC131" s="349"/>
      <c r="AD131" s="313"/>
      <c r="AV131" s="313"/>
      <c r="AW131" s="313"/>
      <c r="AX131" s="313"/>
      <c r="AY131" s="313"/>
      <c r="AZ131" s="313"/>
      <c r="BA131" s="313"/>
      <c r="BB131" s="313"/>
      <c r="BC131" s="313"/>
      <c r="BD131" s="313"/>
      <c r="BE131" s="313"/>
      <c r="BF131" s="313"/>
    </row>
    <row r="132" spans="1:58" ht="43.5" customHeight="1" thickBot="1" x14ac:dyDescent="0.25">
      <c r="A132" s="384"/>
      <c r="B132" s="1512"/>
      <c r="C132" s="618" t="s">
        <v>134</v>
      </c>
      <c r="D132" s="619" t="s">
        <v>479</v>
      </c>
      <c r="E132" s="620">
        <v>4044</v>
      </c>
      <c r="F132" s="620">
        <v>120</v>
      </c>
      <c r="G132" s="620">
        <v>0.01</v>
      </c>
      <c r="H132" s="633">
        <v>0.18239</v>
      </c>
      <c r="I132" s="634">
        <v>2.9E-4</v>
      </c>
      <c r="J132" s="620">
        <v>2.2999999999999998</v>
      </c>
      <c r="K132" s="621">
        <v>43801</v>
      </c>
      <c r="L132" s="622" t="s">
        <v>480</v>
      </c>
      <c r="M132" s="334"/>
      <c r="N132" s="366"/>
      <c r="O132" s="366"/>
      <c r="P132" s="366"/>
      <c r="Q132" s="519"/>
      <c r="R132" s="349"/>
      <c r="S132" s="468"/>
      <c r="T132" s="405"/>
      <c r="U132" s="405"/>
      <c r="V132" s="366"/>
      <c r="W132" s="349"/>
      <c r="X132" s="349"/>
      <c r="Y132" s="349"/>
      <c r="Z132" s="349"/>
      <c r="AA132" s="349"/>
      <c r="AB132" s="349"/>
      <c r="AC132" s="349"/>
      <c r="AD132" s="313"/>
      <c r="AV132" s="313"/>
      <c r="AW132" s="313"/>
      <c r="AX132" s="313"/>
      <c r="AY132" s="313"/>
      <c r="AZ132" s="313"/>
      <c r="BA132" s="313"/>
      <c r="BB132" s="313"/>
      <c r="BC132" s="313"/>
      <c r="BD132" s="313"/>
      <c r="BE132" s="313"/>
      <c r="BF132" s="313"/>
    </row>
    <row r="133" spans="1:58" ht="30" customHeight="1" x14ac:dyDescent="0.2">
      <c r="A133" s="384"/>
      <c r="B133" s="527"/>
      <c r="C133" s="376"/>
      <c r="D133" s="528"/>
      <c r="E133" s="376"/>
      <c r="F133" s="376"/>
      <c r="G133" s="376"/>
      <c r="H133" s="376"/>
      <c r="I133" s="376"/>
      <c r="J133" s="376"/>
      <c r="K133" s="423"/>
      <c r="L133" s="529"/>
      <c r="M133" s="334"/>
      <c r="N133" s="366"/>
      <c r="O133" s="348"/>
      <c r="P133" s="348"/>
      <c r="Q133" s="348"/>
      <c r="S133" s="468"/>
      <c r="T133" s="530"/>
      <c r="U133" s="530"/>
      <c r="V133" s="519"/>
      <c r="W133" s="349"/>
      <c r="X133" s="349"/>
      <c r="Y133" s="349"/>
      <c r="Z133" s="349"/>
      <c r="AA133" s="349"/>
      <c r="AB133" s="349"/>
      <c r="AC133" s="349"/>
      <c r="AD133" s="313"/>
      <c r="AV133" s="313"/>
      <c r="AW133" s="313"/>
      <c r="AX133" s="313"/>
      <c r="AY133" s="313"/>
      <c r="AZ133" s="313"/>
      <c r="BA133" s="313"/>
      <c r="BB133" s="313"/>
      <c r="BC133" s="313"/>
      <c r="BD133" s="313"/>
      <c r="BE133" s="313"/>
      <c r="BF133" s="313"/>
    </row>
    <row r="134" spans="1:58" ht="30" customHeight="1" thickBot="1" x14ac:dyDescent="0.25">
      <c r="A134" s="384"/>
      <c r="B134" s="313"/>
      <c r="C134" s="313"/>
      <c r="D134" s="313"/>
      <c r="E134" s="313"/>
      <c r="F134" s="313"/>
      <c r="G134" s="313"/>
      <c r="H134" s="313"/>
      <c r="I134" s="313"/>
      <c r="J134" s="313"/>
      <c r="K134" s="386"/>
      <c r="L134" s="313"/>
      <c r="M134" s="334"/>
      <c r="N134" s="334"/>
      <c r="O134" s="1479"/>
      <c r="P134" s="1479"/>
      <c r="Q134" s="1479"/>
      <c r="S134" s="468"/>
      <c r="T134" s="366"/>
      <c r="U134" s="366"/>
      <c r="V134" s="519"/>
      <c r="W134" s="349"/>
      <c r="X134" s="349"/>
      <c r="Y134" s="349"/>
      <c r="Z134" s="349"/>
      <c r="AA134" s="349"/>
      <c r="AB134" s="349"/>
      <c r="AC134" s="349"/>
      <c r="AD134" s="313"/>
      <c r="AV134" s="313"/>
      <c r="AW134" s="313"/>
      <c r="AX134" s="313"/>
      <c r="AY134" s="313"/>
      <c r="AZ134" s="313"/>
      <c r="BA134" s="313"/>
      <c r="BB134" s="313"/>
      <c r="BC134" s="313"/>
      <c r="BD134" s="313"/>
      <c r="BE134" s="313"/>
      <c r="BF134" s="313"/>
    </row>
    <row r="135" spans="1:58" ht="30" customHeight="1" thickBot="1" x14ac:dyDescent="0.25">
      <c r="A135" s="384"/>
      <c r="B135" s="1494" t="s">
        <v>112</v>
      </c>
      <c r="C135" s="1495"/>
      <c r="D135" s="1495"/>
      <c r="E135" s="1495"/>
      <c r="F135" s="1495"/>
      <c r="G135" s="1495"/>
      <c r="H135" s="1495"/>
      <c r="I135" s="1495"/>
      <c r="J135" s="1495"/>
      <c r="K135" s="1495"/>
      <c r="L135" s="1496"/>
      <c r="M135" s="334"/>
      <c r="N135" s="405"/>
      <c r="O135" s="405"/>
      <c r="P135" s="405"/>
      <c r="Q135" s="366"/>
      <c r="S135" s="520"/>
      <c r="T135" s="366"/>
      <c r="U135" s="366"/>
      <c r="V135" s="519"/>
      <c r="W135" s="349"/>
      <c r="X135" s="349"/>
      <c r="Y135" s="349"/>
      <c r="Z135" s="349"/>
      <c r="AA135" s="349"/>
      <c r="AB135" s="349"/>
      <c r="AC135" s="349"/>
      <c r="AD135" s="313"/>
      <c r="AV135" s="313"/>
      <c r="AW135" s="313"/>
      <c r="AX135" s="313"/>
      <c r="AY135" s="313"/>
      <c r="AZ135" s="313"/>
      <c r="BA135" s="313"/>
      <c r="BB135" s="313"/>
      <c r="BC135" s="313"/>
      <c r="BD135" s="313"/>
      <c r="BE135" s="313"/>
      <c r="BF135" s="313"/>
    </row>
    <row r="136" spans="1:58" ht="60" customHeight="1" thickBot="1" x14ac:dyDescent="0.25">
      <c r="A136" s="384"/>
      <c r="B136" s="313"/>
      <c r="C136" s="376"/>
      <c r="D136" s="311" t="s">
        <v>26</v>
      </c>
      <c r="E136" s="312" t="s">
        <v>164</v>
      </c>
      <c r="F136" s="89" t="s">
        <v>165</v>
      </c>
      <c r="G136" s="89" t="s">
        <v>101</v>
      </c>
      <c r="H136" s="89" t="s">
        <v>135</v>
      </c>
      <c r="I136" s="89" t="s">
        <v>99</v>
      </c>
      <c r="J136" s="89" t="s">
        <v>136</v>
      </c>
      <c r="K136" s="531" t="s">
        <v>100</v>
      </c>
      <c r="L136" s="90" t="s">
        <v>286</v>
      </c>
      <c r="M136" s="334"/>
      <c r="N136" s="468"/>
      <c r="O136" s="366"/>
      <c r="P136" s="366"/>
      <c r="Q136" s="519"/>
      <c r="S136" s="468"/>
      <c r="T136" s="366"/>
      <c r="U136" s="366"/>
      <c r="V136" s="532"/>
      <c r="W136" s="349"/>
      <c r="X136" s="349"/>
      <c r="Y136" s="349"/>
      <c r="Z136" s="349"/>
      <c r="AA136" s="349"/>
      <c r="AB136" s="349"/>
      <c r="AC136" s="349"/>
      <c r="AD136" s="313"/>
      <c r="AV136" s="313"/>
      <c r="AW136" s="313"/>
      <c r="AX136" s="313"/>
      <c r="AY136" s="313"/>
      <c r="AZ136" s="313"/>
      <c r="BA136" s="313"/>
      <c r="BB136" s="313"/>
      <c r="BC136" s="313"/>
      <c r="BD136" s="313"/>
      <c r="BE136" s="313"/>
      <c r="BF136" s="313"/>
    </row>
    <row r="137" spans="1:58" ht="30" customHeight="1" thickBot="1" x14ac:dyDescent="0.25">
      <c r="A137" s="384"/>
      <c r="B137" s="313"/>
      <c r="C137" s="376"/>
      <c r="D137" s="533"/>
      <c r="E137" s="534"/>
      <c r="F137" s="534"/>
      <c r="G137" s="534"/>
      <c r="H137" s="534"/>
      <c r="I137" s="534"/>
      <c r="J137" s="534"/>
      <c r="K137" s="535"/>
      <c r="L137" s="536"/>
      <c r="M137" s="334"/>
      <c r="N137" s="468"/>
      <c r="O137" s="366"/>
      <c r="P137" s="366"/>
      <c r="Q137" s="519"/>
      <c r="W137" s="349"/>
      <c r="X137" s="349"/>
      <c r="Y137" s="349"/>
      <c r="Z137" s="349"/>
      <c r="AA137" s="349"/>
      <c r="AB137" s="349"/>
      <c r="AC137" s="349"/>
      <c r="AD137" s="313"/>
      <c r="AV137" s="313"/>
      <c r="AW137" s="313"/>
      <c r="AX137" s="313"/>
      <c r="AY137" s="313"/>
      <c r="AZ137" s="313"/>
      <c r="BA137" s="313"/>
      <c r="BB137" s="313"/>
      <c r="BC137" s="313"/>
      <c r="BD137" s="313"/>
      <c r="BE137" s="313"/>
      <c r="BF137" s="313"/>
    </row>
    <row r="138" spans="1:58" ht="33.950000000000003" customHeight="1" x14ac:dyDescent="0.2">
      <c r="A138" s="384"/>
      <c r="B138" s="1491" t="s">
        <v>401</v>
      </c>
      <c r="C138" s="424" t="s">
        <v>393</v>
      </c>
      <c r="D138" s="1497" t="s">
        <v>172</v>
      </c>
      <c r="E138" s="390">
        <v>16901291</v>
      </c>
      <c r="F138" s="704">
        <v>5</v>
      </c>
      <c r="G138" s="390">
        <v>0.01</v>
      </c>
      <c r="H138" s="485">
        <v>4.0000000000000001E-3</v>
      </c>
      <c r="I138" s="705">
        <v>1.5E-3</v>
      </c>
      <c r="J138" s="515">
        <v>2</v>
      </c>
      <c r="K138" s="624">
        <v>43978</v>
      </c>
      <c r="L138" s="709" t="s">
        <v>464</v>
      </c>
      <c r="M138" s="334"/>
      <c r="N138" s="366"/>
      <c r="O138" s="366"/>
      <c r="P138" s="366"/>
      <c r="Q138" s="519"/>
      <c r="W138" s="349"/>
      <c r="X138" s="349"/>
      <c r="Y138" s="349"/>
      <c r="Z138" s="349"/>
      <c r="AA138" s="349"/>
      <c r="AB138" s="349"/>
      <c r="AC138" s="349"/>
      <c r="AD138" s="313"/>
      <c r="AV138" s="313"/>
      <c r="AW138" s="313"/>
      <c r="AX138" s="313"/>
      <c r="AY138" s="313"/>
      <c r="AZ138" s="313"/>
      <c r="BA138" s="313"/>
      <c r="BB138" s="313"/>
      <c r="BC138" s="313"/>
      <c r="BD138" s="313"/>
      <c r="BE138" s="313"/>
      <c r="BF138" s="313"/>
    </row>
    <row r="139" spans="1:58" ht="33.950000000000003" customHeight="1" x14ac:dyDescent="0.2">
      <c r="A139" s="384"/>
      <c r="B139" s="1492"/>
      <c r="C139" s="563" t="s">
        <v>394</v>
      </c>
      <c r="D139" s="1498"/>
      <c r="E139" s="615">
        <v>16901291</v>
      </c>
      <c r="F139" s="497">
        <v>20</v>
      </c>
      <c r="G139" s="339">
        <v>0.01</v>
      </c>
      <c r="H139" s="506">
        <v>2E-3</v>
      </c>
      <c r="I139" s="706">
        <v>1.5E-3</v>
      </c>
      <c r="J139" s="494">
        <v>2</v>
      </c>
      <c r="K139" s="625">
        <v>43978</v>
      </c>
      <c r="L139" s="710" t="s">
        <v>464</v>
      </c>
      <c r="M139" s="334"/>
      <c r="N139" s="366"/>
      <c r="O139" s="348"/>
      <c r="P139" s="348"/>
      <c r="Q139" s="348"/>
      <c r="W139" s="349"/>
      <c r="X139" s="349"/>
      <c r="Y139" s="349"/>
      <c r="Z139" s="349"/>
      <c r="AA139" s="349"/>
      <c r="AB139" s="349"/>
      <c r="AC139" s="349"/>
      <c r="AD139" s="313"/>
      <c r="AV139" s="313"/>
      <c r="AW139" s="313"/>
      <c r="AX139" s="313"/>
      <c r="AY139" s="313"/>
      <c r="AZ139" s="313"/>
      <c r="BA139" s="313"/>
      <c r="BB139" s="313"/>
      <c r="BC139" s="313"/>
      <c r="BD139" s="313"/>
      <c r="BE139" s="313"/>
      <c r="BF139" s="313"/>
    </row>
    <row r="140" spans="1:58" ht="33.950000000000003" customHeight="1" x14ac:dyDescent="0.2">
      <c r="A140" s="384"/>
      <c r="B140" s="1492"/>
      <c r="C140" s="563" t="s">
        <v>395</v>
      </c>
      <c r="D140" s="1498"/>
      <c r="E140" s="339">
        <v>16901291</v>
      </c>
      <c r="F140" s="497">
        <v>50</v>
      </c>
      <c r="G140" s="339">
        <v>0.01</v>
      </c>
      <c r="H140" s="506">
        <v>-2E-3</v>
      </c>
      <c r="I140" s="706">
        <v>1.5E-3</v>
      </c>
      <c r="J140" s="494">
        <v>2</v>
      </c>
      <c r="K140" s="625">
        <v>43978</v>
      </c>
      <c r="L140" s="710" t="s">
        <v>464</v>
      </c>
      <c r="M140" s="334"/>
      <c r="N140" s="334"/>
      <c r="O140" s="1479"/>
      <c r="P140" s="1479"/>
      <c r="Q140" s="1479"/>
      <c r="W140" s="349"/>
      <c r="X140" s="349"/>
      <c r="Y140" s="349"/>
      <c r="Z140" s="349"/>
      <c r="AA140" s="349"/>
      <c r="AB140" s="349"/>
      <c r="AC140" s="349"/>
      <c r="AD140" s="313"/>
      <c r="AV140" s="313"/>
      <c r="AW140" s="313"/>
      <c r="AX140" s="313"/>
      <c r="AY140" s="313"/>
      <c r="AZ140" s="313"/>
      <c r="BA140" s="313"/>
      <c r="BB140" s="313"/>
      <c r="BC140" s="313"/>
      <c r="BD140" s="313"/>
      <c r="BE140" s="313"/>
      <c r="BF140" s="313"/>
    </row>
    <row r="141" spans="1:58" ht="33.950000000000003" customHeight="1" x14ac:dyDescent="0.2">
      <c r="A141" s="384"/>
      <c r="B141" s="1492"/>
      <c r="C141" s="563" t="s">
        <v>396</v>
      </c>
      <c r="D141" s="1498"/>
      <c r="E141" s="339">
        <v>16901291</v>
      </c>
      <c r="F141" s="497">
        <v>70</v>
      </c>
      <c r="G141" s="339">
        <v>0.01</v>
      </c>
      <c r="H141" s="506">
        <v>-4.0000000000000001E-3</v>
      </c>
      <c r="I141" s="706">
        <v>1.5E-3</v>
      </c>
      <c r="J141" s="494">
        <v>2</v>
      </c>
      <c r="K141" s="625">
        <v>43978</v>
      </c>
      <c r="L141" s="710" t="s">
        <v>464</v>
      </c>
      <c r="M141" s="334"/>
      <c r="N141" s="405"/>
      <c r="O141" s="405"/>
      <c r="P141" s="405"/>
      <c r="Q141" s="366"/>
      <c r="W141" s="349"/>
      <c r="X141" s="349"/>
      <c r="Y141" s="349"/>
      <c r="Z141" s="349"/>
      <c r="AA141" s="349"/>
      <c r="AB141" s="349"/>
      <c r="AC141" s="349"/>
      <c r="AD141" s="313"/>
      <c r="AV141" s="313"/>
      <c r="AW141" s="313"/>
      <c r="AX141" s="313"/>
      <c r="AY141" s="313"/>
      <c r="AZ141" s="313"/>
      <c r="BA141" s="313"/>
      <c r="BB141" s="313"/>
      <c r="BC141" s="313"/>
      <c r="BD141" s="313"/>
      <c r="BE141" s="313"/>
      <c r="BF141" s="313"/>
    </row>
    <row r="142" spans="1:58" ht="33.950000000000003" customHeight="1" x14ac:dyDescent="0.2">
      <c r="A142" s="384"/>
      <c r="B142" s="1492"/>
      <c r="C142" s="563" t="s">
        <v>397</v>
      </c>
      <c r="D142" s="1498"/>
      <c r="E142" s="339">
        <v>16901291</v>
      </c>
      <c r="F142" s="497">
        <v>100</v>
      </c>
      <c r="G142" s="339">
        <v>0.01</v>
      </c>
      <c r="H142" s="506">
        <v>-4.0000000000000001E-3</v>
      </c>
      <c r="I142" s="706">
        <v>1.5E-3</v>
      </c>
      <c r="J142" s="494">
        <v>2</v>
      </c>
      <c r="K142" s="625">
        <v>43978</v>
      </c>
      <c r="L142" s="710" t="s">
        <v>464</v>
      </c>
      <c r="M142" s="334"/>
      <c r="N142" s="468"/>
      <c r="O142" s="366"/>
      <c r="P142" s="366"/>
      <c r="Q142" s="519"/>
      <c r="R142" s="349"/>
      <c r="W142" s="349"/>
      <c r="X142" s="349"/>
      <c r="Y142" s="349"/>
      <c r="Z142" s="349"/>
      <c r="AA142" s="349"/>
      <c r="AB142" s="349"/>
      <c r="AC142" s="349"/>
      <c r="AD142" s="313"/>
      <c r="AV142" s="313"/>
      <c r="AW142" s="313"/>
      <c r="AX142" s="313"/>
      <c r="AY142" s="313"/>
      <c r="AZ142" s="313"/>
      <c r="BA142" s="313"/>
      <c r="BB142" s="313"/>
      <c r="BC142" s="313"/>
      <c r="BD142" s="313"/>
      <c r="BE142" s="313"/>
      <c r="BF142" s="313"/>
    </row>
    <row r="143" spans="1:58" ht="33.950000000000003" customHeight="1" x14ac:dyDescent="0.2">
      <c r="A143" s="384"/>
      <c r="B143" s="1492"/>
      <c r="C143" s="563" t="s">
        <v>398</v>
      </c>
      <c r="D143" s="1498"/>
      <c r="E143" s="339">
        <v>16901291</v>
      </c>
      <c r="F143" s="497">
        <v>150</v>
      </c>
      <c r="G143" s="339">
        <v>0.01</v>
      </c>
      <c r="H143" s="506">
        <v>-4.0000000000000001E-3</v>
      </c>
      <c r="I143" s="706">
        <v>1.5E-3</v>
      </c>
      <c r="J143" s="494">
        <v>2</v>
      </c>
      <c r="K143" s="625">
        <v>43978</v>
      </c>
      <c r="L143" s="710" t="s">
        <v>464</v>
      </c>
      <c r="M143" s="334"/>
      <c r="N143" s="468"/>
      <c r="O143" s="366"/>
      <c r="P143" s="366"/>
      <c r="Q143" s="519"/>
      <c r="R143" s="349"/>
      <c r="S143" s="349"/>
      <c r="T143" s="349"/>
      <c r="U143" s="349"/>
      <c r="V143" s="349"/>
      <c r="W143" s="349"/>
      <c r="X143" s="349"/>
      <c r="Y143" s="349"/>
      <c r="Z143" s="349"/>
      <c r="AA143" s="349"/>
      <c r="AB143" s="349"/>
      <c r="AC143" s="349"/>
      <c r="AD143" s="313"/>
      <c r="AV143" s="313"/>
      <c r="AW143" s="313"/>
      <c r="AX143" s="313"/>
      <c r="AY143" s="313"/>
      <c r="AZ143" s="313"/>
      <c r="BA143" s="313"/>
      <c r="BB143" s="313"/>
      <c r="BC143" s="313"/>
      <c r="BD143" s="313"/>
      <c r="BE143" s="313"/>
      <c r="BF143" s="313"/>
    </row>
    <row r="144" spans="1:58" ht="33.950000000000003" customHeight="1" thickBot="1" x14ac:dyDescent="0.25">
      <c r="A144" s="384"/>
      <c r="B144" s="1493"/>
      <c r="C144" s="564" t="s">
        <v>399</v>
      </c>
      <c r="D144" s="1499"/>
      <c r="E144" s="396">
        <v>16901291</v>
      </c>
      <c r="F144" s="509">
        <v>200</v>
      </c>
      <c r="G144" s="396">
        <v>0.01</v>
      </c>
      <c r="H144" s="707">
        <v>-2E-3</v>
      </c>
      <c r="I144" s="708">
        <v>1.5E-3</v>
      </c>
      <c r="J144" s="398">
        <v>2</v>
      </c>
      <c r="K144" s="626">
        <v>43978</v>
      </c>
      <c r="L144" s="711" t="s">
        <v>464</v>
      </c>
      <c r="M144" s="334"/>
      <c r="N144" s="366"/>
      <c r="O144" s="366"/>
      <c r="P144" s="366"/>
      <c r="Q144" s="519"/>
      <c r="R144" s="349"/>
      <c r="S144" s="349"/>
      <c r="T144" s="349"/>
      <c r="U144" s="349"/>
      <c r="V144" s="349"/>
      <c r="W144" s="349"/>
      <c r="X144" s="349"/>
      <c r="Y144" s="349"/>
      <c r="Z144" s="349"/>
      <c r="AA144" s="349"/>
      <c r="AB144" s="349"/>
      <c r="AC144" s="349"/>
      <c r="AD144" s="313"/>
      <c r="AH144" s="313"/>
      <c r="AI144" s="376"/>
      <c r="AJ144" s="376"/>
      <c r="AK144" s="376"/>
      <c r="AL144" s="376"/>
      <c r="AM144" s="376"/>
      <c r="AN144" s="376"/>
      <c r="AO144" s="376"/>
      <c r="AP144" s="376"/>
      <c r="AQ144" s="423"/>
      <c r="AR144" s="376"/>
      <c r="AS144" s="376"/>
      <c r="AV144" s="313"/>
      <c r="AW144" s="313"/>
      <c r="AX144" s="313"/>
      <c r="AY144" s="313"/>
      <c r="AZ144" s="313"/>
      <c r="BA144" s="313"/>
      <c r="BB144" s="313"/>
      <c r="BC144" s="313"/>
      <c r="BD144" s="313"/>
      <c r="BE144" s="313"/>
      <c r="BF144" s="313"/>
    </row>
    <row r="145" spans="1:58" ht="35.1" customHeight="1" thickBot="1" x14ac:dyDescent="0.25">
      <c r="A145" s="384"/>
      <c r="B145" s="313"/>
      <c r="C145" s="313"/>
      <c r="D145" s="313"/>
      <c r="E145" s="537"/>
      <c r="F145" s="467"/>
      <c r="G145" s="467"/>
      <c r="H145" s="538"/>
      <c r="I145" s="467"/>
      <c r="J145" s="467"/>
      <c r="K145" s="539"/>
      <c r="L145" s="540"/>
      <c r="N145" s="366"/>
      <c r="O145" s="348"/>
      <c r="P145" s="348"/>
      <c r="Q145" s="348"/>
      <c r="X145" s="376"/>
      <c r="Y145" s="376"/>
      <c r="Z145" s="376"/>
      <c r="AA145" s="376"/>
      <c r="AB145" s="376"/>
      <c r="AC145" s="313"/>
      <c r="AD145" s="313"/>
      <c r="AH145" s="313"/>
      <c r="AI145" s="313"/>
      <c r="AJ145" s="313"/>
      <c r="AK145" s="313"/>
      <c r="AL145" s="313"/>
      <c r="AM145" s="313"/>
      <c r="AN145" s="313"/>
      <c r="AO145" s="313"/>
      <c r="AP145" s="313"/>
      <c r="AQ145" s="386"/>
      <c r="AR145" s="313"/>
      <c r="AS145" s="376"/>
      <c r="AV145" s="313"/>
      <c r="AW145" s="313"/>
      <c r="AX145" s="313"/>
      <c r="AY145" s="313"/>
      <c r="AZ145" s="313"/>
      <c r="BA145" s="313"/>
      <c r="BB145" s="313"/>
      <c r="BC145" s="313"/>
      <c r="BD145" s="313"/>
      <c r="BE145" s="313"/>
      <c r="BF145" s="313"/>
    </row>
    <row r="146" spans="1:58" ht="33.950000000000003" customHeight="1" x14ac:dyDescent="0.2">
      <c r="A146" s="384"/>
      <c r="B146" s="1491" t="s">
        <v>400</v>
      </c>
      <c r="C146" s="424" t="s">
        <v>393</v>
      </c>
      <c r="D146" s="1497" t="s">
        <v>172</v>
      </c>
      <c r="E146" s="390">
        <v>16901291</v>
      </c>
      <c r="F146" s="704">
        <v>5</v>
      </c>
      <c r="G146" s="390">
        <v>0.01</v>
      </c>
      <c r="H146" s="485">
        <v>0</v>
      </c>
      <c r="I146" s="705">
        <v>1.8E-3</v>
      </c>
      <c r="J146" s="515">
        <v>2</v>
      </c>
      <c r="K146" s="624">
        <v>43978</v>
      </c>
      <c r="L146" s="709" t="s">
        <v>464</v>
      </c>
      <c r="M146" s="334"/>
      <c r="N146" s="334"/>
      <c r="O146" s="1479"/>
      <c r="P146" s="1479"/>
      <c r="Q146" s="1479"/>
      <c r="Z146" s="313"/>
      <c r="AA146" s="313"/>
      <c r="AB146" s="313"/>
      <c r="AC146" s="313"/>
      <c r="AD146" s="313"/>
      <c r="AH146" s="313"/>
      <c r="AI146" s="313"/>
      <c r="AJ146" s="313"/>
      <c r="AK146" s="313"/>
      <c r="AL146" s="313"/>
      <c r="AM146" s="313"/>
      <c r="AN146" s="313"/>
      <c r="AO146" s="313"/>
      <c r="AP146" s="313"/>
      <c r="AQ146" s="386"/>
      <c r="AR146" s="313"/>
      <c r="AS146" s="376"/>
      <c r="AV146" s="313"/>
      <c r="AW146" s="313"/>
      <c r="AX146" s="313"/>
      <c r="AY146" s="313"/>
      <c r="AZ146" s="313"/>
      <c r="BA146" s="313"/>
      <c r="BB146" s="313"/>
      <c r="BC146" s="313"/>
      <c r="BD146" s="313"/>
      <c r="BE146" s="313"/>
      <c r="BF146" s="313"/>
    </row>
    <row r="147" spans="1:58" ht="33.950000000000003" customHeight="1" x14ac:dyDescent="0.2">
      <c r="A147" s="384"/>
      <c r="B147" s="1492"/>
      <c r="C147" s="563" t="s">
        <v>394</v>
      </c>
      <c r="D147" s="1498"/>
      <c r="E147" s="339">
        <v>16901291</v>
      </c>
      <c r="F147" s="497">
        <v>20</v>
      </c>
      <c r="G147" s="339">
        <v>0.01</v>
      </c>
      <c r="H147" s="506">
        <v>0</v>
      </c>
      <c r="I147" s="706">
        <v>1.8E-3</v>
      </c>
      <c r="J147" s="494">
        <v>2</v>
      </c>
      <c r="K147" s="625">
        <v>43978</v>
      </c>
      <c r="L147" s="710" t="s">
        <v>464</v>
      </c>
      <c r="M147" s="334"/>
      <c r="N147" s="405"/>
      <c r="O147" s="405"/>
      <c r="P147" s="405"/>
      <c r="Q147" s="366"/>
      <c r="W147" s="313"/>
      <c r="X147" s="313"/>
      <c r="Y147" s="313"/>
      <c r="Z147" s="313"/>
      <c r="AA147" s="313"/>
      <c r="AB147" s="313"/>
      <c r="AC147" s="313"/>
      <c r="AD147" s="313"/>
      <c r="BD147" s="313"/>
      <c r="BE147" s="313"/>
      <c r="BF147" s="313"/>
    </row>
    <row r="148" spans="1:58" ht="33.950000000000003" customHeight="1" x14ac:dyDescent="0.2">
      <c r="A148" s="384"/>
      <c r="B148" s="1492"/>
      <c r="C148" s="563" t="s">
        <v>395</v>
      </c>
      <c r="D148" s="1498"/>
      <c r="E148" s="339">
        <v>16901291</v>
      </c>
      <c r="F148" s="497">
        <v>50</v>
      </c>
      <c r="G148" s="339">
        <v>0.01</v>
      </c>
      <c r="H148" s="506">
        <v>-4.0000000000000001E-3</v>
      </c>
      <c r="I148" s="706">
        <v>1.8E-3</v>
      </c>
      <c r="J148" s="494">
        <v>2</v>
      </c>
      <c r="K148" s="625">
        <v>43978</v>
      </c>
      <c r="L148" s="710" t="s">
        <v>464</v>
      </c>
      <c r="M148" s="334"/>
      <c r="N148" s="468"/>
      <c r="O148" s="366"/>
      <c r="P148" s="366"/>
      <c r="Q148" s="519"/>
      <c r="W148" s="317"/>
      <c r="X148" s="317"/>
      <c r="Y148" s="317"/>
      <c r="Z148" s="317"/>
      <c r="AA148" s="317"/>
      <c r="AB148" s="317"/>
      <c r="AV148" s="313"/>
      <c r="AW148" s="313"/>
      <c r="AX148" s="313"/>
      <c r="AY148" s="313"/>
      <c r="AZ148" s="313"/>
      <c r="BA148" s="313"/>
      <c r="BB148" s="313"/>
      <c r="BC148" s="313"/>
      <c r="BD148" s="313"/>
      <c r="BE148" s="313"/>
      <c r="BF148" s="313"/>
    </row>
    <row r="149" spans="1:58" ht="33.950000000000003" customHeight="1" x14ac:dyDescent="0.2">
      <c r="A149" s="384"/>
      <c r="B149" s="1492"/>
      <c r="C149" s="563" t="s">
        <v>396</v>
      </c>
      <c r="D149" s="1498"/>
      <c r="E149" s="339">
        <v>16901291</v>
      </c>
      <c r="F149" s="497">
        <v>70.010000000000005</v>
      </c>
      <c r="G149" s="339">
        <v>0.01</v>
      </c>
      <c r="H149" s="506">
        <v>-6.0000000000000001E-3</v>
      </c>
      <c r="I149" s="706">
        <v>1.8E-3</v>
      </c>
      <c r="J149" s="494">
        <v>2</v>
      </c>
      <c r="K149" s="625">
        <v>43978</v>
      </c>
      <c r="L149" s="710" t="s">
        <v>464</v>
      </c>
      <c r="M149" s="334"/>
      <c r="N149" s="468"/>
      <c r="O149" s="366"/>
      <c r="P149" s="366"/>
      <c r="Q149" s="519"/>
      <c r="W149" s="317"/>
      <c r="X149" s="317"/>
      <c r="Y149" s="317"/>
      <c r="Z149" s="317"/>
      <c r="AA149" s="317"/>
      <c r="AB149" s="317"/>
      <c r="AV149" s="313"/>
      <c r="AW149" s="313"/>
      <c r="AX149" s="313"/>
      <c r="AY149" s="313"/>
      <c r="AZ149" s="313"/>
      <c r="BA149" s="313"/>
      <c r="BB149" s="313"/>
      <c r="BC149" s="313"/>
      <c r="BD149" s="313"/>
      <c r="BE149" s="313"/>
      <c r="BF149" s="313"/>
    </row>
    <row r="150" spans="1:58" ht="33.950000000000003" customHeight="1" x14ac:dyDescent="0.2">
      <c r="A150" s="384"/>
      <c r="B150" s="1492"/>
      <c r="C150" s="563" t="s">
        <v>397</v>
      </c>
      <c r="D150" s="1498"/>
      <c r="E150" s="339">
        <v>16901291</v>
      </c>
      <c r="F150" s="497">
        <v>100</v>
      </c>
      <c r="G150" s="339">
        <v>0.01</v>
      </c>
      <c r="H150" s="506">
        <v>-4.0000000000000001E-3</v>
      </c>
      <c r="I150" s="706">
        <v>1.8E-3</v>
      </c>
      <c r="J150" s="494">
        <v>2</v>
      </c>
      <c r="K150" s="625">
        <v>43978</v>
      </c>
      <c r="L150" s="710" t="s">
        <v>464</v>
      </c>
      <c r="M150" s="334"/>
      <c r="N150" s="366"/>
      <c r="O150" s="366"/>
      <c r="P150" s="366"/>
      <c r="Q150" s="519"/>
    </row>
    <row r="151" spans="1:58" ht="33.950000000000003" customHeight="1" x14ac:dyDescent="0.2">
      <c r="A151" s="384"/>
      <c r="B151" s="1492"/>
      <c r="C151" s="563" t="s">
        <v>398</v>
      </c>
      <c r="D151" s="1498"/>
      <c r="E151" s="339">
        <v>16901291</v>
      </c>
      <c r="F151" s="497">
        <v>150.01</v>
      </c>
      <c r="G151" s="339">
        <v>0.01</v>
      </c>
      <c r="H151" s="506">
        <v>-6.0000000000000001E-3</v>
      </c>
      <c r="I151" s="706">
        <v>1.8E-3</v>
      </c>
      <c r="J151" s="494">
        <v>2</v>
      </c>
      <c r="K151" s="625">
        <v>43978</v>
      </c>
      <c r="L151" s="710" t="s">
        <v>464</v>
      </c>
      <c r="M151" s="334"/>
      <c r="N151" s="366"/>
      <c r="O151" s="348"/>
      <c r="P151" s="541"/>
      <c r="Q151" s="348"/>
    </row>
    <row r="152" spans="1:58" ht="33.950000000000003" customHeight="1" thickBot="1" x14ac:dyDescent="0.25">
      <c r="A152" s="384"/>
      <c r="B152" s="1493"/>
      <c r="C152" s="564" t="s">
        <v>402</v>
      </c>
      <c r="D152" s="1499"/>
      <c r="E152" s="396">
        <v>16901291</v>
      </c>
      <c r="F152" s="509">
        <v>200.01</v>
      </c>
      <c r="G152" s="396">
        <v>0.01</v>
      </c>
      <c r="H152" s="707">
        <v>-6.0000000000000001E-3</v>
      </c>
      <c r="I152" s="708">
        <v>1.8E-3</v>
      </c>
      <c r="J152" s="398">
        <v>2</v>
      </c>
      <c r="K152" s="626">
        <v>43978</v>
      </c>
      <c r="L152" s="711" t="s">
        <v>464</v>
      </c>
      <c r="M152" s="334"/>
      <c r="N152" s="334"/>
      <c r="O152" s="1479"/>
      <c r="P152" s="1479"/>
      <c r="Q152" s="1479"/>
    </row>
    <row r="153" spans="1:58" ht="35.1" customHeight="1" x14ac:dyDescent="0.2">
      <c r="A153" s="384"/>
      <c r="B153" s="313"/>
      <c r="C153" s="313"/>
      <c r="D153" s="376"/>
      <c r="E153" s="313"/>
      <c r="F153" s="313"/>
      <c r="G153" s="313"/>
      <c r="H153" s="313"/>
      <c r="I153" s="313"/>
      <c r="J153" s="313"/>
      <c r="K153" s="386"/>
      <c r="L153" s="313"/>
      <c r="M153" s="334"/>
      <c r="N153" s="405"/>
      <c r="O153" s="405"/>
      <c r="P153" s="405"/>
      <c r="Q153" s="366"/>
    </row>
    <row r="154" spans="1:58" ht="35.1" customHeight="1" x14ac:dyDescent="0.2">
      <c r="A154" s="384"/>
      <c r="B154" s="313"/>
      <c r="C154" s="313"/>
      <c r="D154" s="376"/>
      <c r="E154" s="313"/>
      <c r="F154" s="313"/>
      <c r="G154" s="313"/>
      <c r="H154" s="313"/>
      <c r="I154" s="313"/>
      <c r="J154" s="313"/>
      <c r="K154" s="386"/>
      <c r="L154" s="313"/>
      <c r="M154" s="334"/>
      <c r="N154" s="468"/>
      <c r="O154" s="366"/>
      <c r="P154" s="366"/>
      <c r="Q154" s="519"/>
    </row>
    <row r="156" spans="1:58" ht="35.1" customHeight="1" thickBot="1" x14ac:dyDescent="0.25">
      <c r="B156" s="542"/>
      <c r="C156" s="524"/>
      <c r="D156" s="523"/>
      <c r="E156" s="457"/>
      <c r="F156" s="457"/>
      <c r="G156" s="457"/>
      <c r="H156" s="457"/>
      <c r="I156" s="457"/>
      <c r="J156" s="457"/>
      <c r="K156" s="543"/>
      <c r="L156" s="544"/>
      <c r="M156" s="458"/>
    </row>
    <row r="157" spans="1:58" ht="51.75" customHeight="1" thickBot="1" x14ac:dyDescent="0.25">
      <c r="B157" s="602" t="s">
        <v>213</v>
      </c>
      <c r="C157" s="603" t="str">
        <f>D111</f>
        <v>Fabricante</v>
      </c>
      <c r="D157" s="604" t="str">
        <f>E36</f>
        <v>Identificación / Serie</v>
      </c>
      <c r="E157" s="604" t="str">
        <f>S54</f>
        <v>Fecha de Calibración</v>
      </c>
      <c r="F157" s="604" t="str">
        <f>T54</f>
        <v>Trazabilidad y numero</v>
      </c>
      <c r="G157" s="604" t="s">
        <v>1</v>
      </c>
      <c r="H157" s="604" t="s">
        <v>379</v>
      </c>
      <c r="I157" s="604" t="s">
        <v>12</v>
      </c>
      <c r="J157" s="604" t="s">
        <v>354</v>
      </c>
      <c r="K157" s="604" t="s">
        <v>355</v>
      </c>
      <c r="L157" s="604" t="s">
        <v>405</v>
      </c>
      <c r="M157" s="604" t="s">
        <v>404</v>
      </c>
      <c r="N157" s="604" t="s">
        <v>356</v>
      </c>
      <c r="O157" s="605" t="s">
        <v>357</v>
      </c>
    </row>
    <row r="158" spans="1:58" ht="35.1" customHeight="1" thickBot="1" x14ac:dyDescent="0.25">
      <c r="B158" s="545"/>
      <c r="C158" s="546"/>
      <c r="D158" s="546"/>
      <c r="E158" s="546"/>
      <c r="F158" s="546"/>
      <c r="G158" s="546"/>
      <c r="H158" s="546"/>
      <c r="I158" s="546"/>
      <c r="J158" s="546"/>
      <c r="K158" s="546"/>
      <c r="L158" s="546"/>
      <c r="M158" s="546"/>
      <c r="N158" s="546"/>
      <c r="O158" s="547"/>
    </row>
    <row r="159" spans="1:58" ht="45.95" customHeight="1" x14ac:dyDescent="0.2">
      <c r="B159" s="712" t="str">
        <f>O57</f>
        <v>V-002</v>
      </c>
      <c r="C159" s="486" t="str">
        <f>D56</f>
        <v>Lufft Opus 20</v>
      </c>
      <c r="D159" s="713" t="str">
        <f>E56</f>
        <v>0,23.0714.0802.024 C-I V-002</v>
      </c>
      <c r="E159" s="714" t="str">
        <f>S57</f>
        <v>2020-07-07 / 2020-7-08 / 2020-05-29</v>
      </c>
      <c r="F159" s="486" t="str">
        <f>T57</f>
        <v>INM  4629 - INM 4630 - INM 4626</v>
      </c>
      <c r="G159" s="486">
        <f>P58</f>
        <v>0.3</v>
      </c>
      <c r="H159" s="486">
        <f>Q58</f>
        <v>1.7</v>
      </c>
      <c r="I159" s="704">
        <f>R58</f>
        <v>9.6000000000000002E-2</v>
      </c>
      <c r="J159" s="715">
        <f>SLOPE(H56:H58,F56:F58)</f>
        <v>-6.0695118834653726E-3</v>
      </c>
      <c r="K159" s="705">
        <f>INTERCEPT(H56:H58,F56:F58)</f>
        <v>0.10727702530028116</v>
      </c>
      <c r="L159" s="705">
        <f>SLOPE(H59:H61,F59:F61)</f>
        <v>0.1454156155702041</v>
      </c>
      <c r="M159" s="705">
        <f>INTERCEPT(H59:H61,F59:F61)</f>
        <v>-8.3663878253816613</v>
      </c>
      <c r="N159" s="705">
        <f>SLOPE(H62:H64,F62:F64)</f>
        <v>-3.0257969486283411E-3</v>
      </c>
      <c r="O159" s="716">
        <f>INTERCEPT(H62:H64,F62:F64)</f>
        <v>3.3404896034287122</v>
      </c>
    </row>
    <row r="160" spans="1:58" ht="45.95" customHeight="1" x14ac:dyDescent="0.2">
      <c r="B160" s="717" t="str">
        <f>O89</f>
        <v>M-010</v>
      </c>
      <c r="C160" s="499" t="str">
        <f>D89</f>
        <v>Lufft Opus 20</v>
      </c>
      <c r="D160" s="718" t="str">
        <f>E89</f>
        <v>0,26.0714.0802.024 C-I M-010</v>
      </c>
      <c r="E160" s="719" t="str">
        <f>S89</f>
        <v>2020-06-18 2020-06-19- 2020-05-29</v>
      </c>
      <c r="F160" s="499" t="str">
        <f>T89</f>
        <v>INM 4608 - INM 4609 -   INM 4623</v>
      </c>
      <c r="G160" s="720">
        <f>P90</f>
        <v>0.3</v>
      </c>
      <c r="H160" s="720">
        <f>Q90</f>
        <v>1.7</v>
      </c>
      <c r="I160" s="497">
        <f>R90</f>
        <v>9.5000000000000001E-2</v>
      </c>
      <c r="J160" s="721">
        <f>SLOPE(H89:H91,F89:F91)</f>
        <v>-5.9336401065633333E-3</v>
      </c>
      <c r="K160" s="721">
        <f>INTERCEPT(H89:H91,F89:F91)</f>
        <v>0.10472269314604021</v>
      </c>
      <c r="L160" s="721">
        <f>SLOPE(H92:H94,F92:F94)</f>
        <v>0.12190340402780254</v>
      </c>
      <c r="M160" s="721">
        <f>INTERCEPT(H92:H94,F92:F94)</f>
        <v>-7.1705934770985564</v>
      </c>
      <c r="N160" s="721">
        <f>SLOPE(H95:H97,F95:F97)</f>
        <v>-2.9793088058430585E-3</v>
      </c>
      <c r="O160" s="722">
        <f>INTERCEPT(H95:H97,F95:F97)</f>
        <v>3.2186533084545825</v>
      </c>
    </row>
    <row r="161" spans="1:18" ht="45.95" customHeight="1" x14ac:dyDescent="0.2">
      <c r="B161" s="717" t="str">
        <f>O100</f>
        <v>M-011</v>
      </c>
      <c r="C161" s="499" t="str">
        <f>D100</f>
        <v>Lufft Opus 20</v>
      </c>
      <c r="D161" s="718" t="str">
        <f>E100</f>
        <v>0,22.0714.0802.024</v>
      </c>
      <c r="E161" s="719" t="str">
        <f>S100</f>
        <v>2020-07-07 / 2020-07-08 / 2020-05-29</v>
      </c>
      <c r="F161" s="499" t="str">
        <f>T100</f>
        <v>INM-4627-INM 4628-INM 4624</v>
      </c>
      <c r="G161" s="497">
        <f>P101</f>
        <v>0.3</v>
      </c>
      <c r="H161" s="497">
        <f>Q101</f>
        <v>1.7</v>
      </c>
      <c r="I161" s="497">
        <f>R101</f>
        <v>9.9000000000000005E-2</v>
      </c>
      <c r="J161" s="721">
        <f>SLOPE(H100:H102,F100:F102)</f>
        <v>-3.3780112298496645E-2</v>
      </c>
      <c r="K161" s="721">
        <f>INTERCEPT(H100:H102,F100:F102)</f>
        <v>0.71703193865845549</v>
      </c>
      <c r="L161" s="721">
        <f>SLOPE(H103:H105,F103:F105)</f>
        <v>0.130081899205096</v>
      </c>
      <c r="M161" s="721">
        <f>INTERCEPT(H103:H105,F103:F105)</f>
        <v>-7.7664280170221902</v>
      </c>
      <c r="N161" s="721">
        <f>SLOPE(H106:H108,F106:F108)</f>
        <v>-3.3007100073608104E-3</v>
      </c>
      <c r="O161" s="722">
        <f>INTERCEPT(H106:H108,F106:F108)</f>
        <v>3.4572785816199776</v>
      </c>
    </row>
    <row r="162" spans="1:18" ht="45.95" customHeight="1" x14ac:dyDescent="0.2">
      <c r="B162" s="717" t="str">
        <f>O67</f>
        <v xml:space="preserve">M-012  </v>
      </c>
      <c r="C162" s="499" t="str">
        <f>D67</f>
        <v>Lufft Opus 20</v>
      </c>
      <c r="D162" s="718" t="str">
        <f>E67</f>
        <v>19506160802033 C-I M-012</v>
      </c>
      <c r="E162" s="719" t="str">
        <f>S67</f>
        <v>2020-06-18 / 2020-06-19/ 2020-05-29</v>
      </c>
      <c r="F162" s="499" t="str">
        <f>T67</f>
        <v>INM-4610, INM 4611 - INM 4625</v>
      </c>
      <c r="G162" s="497">
        <f>P68</f>
        <v>0.3</v>
      </c>
      <c r="H162" s="497">
        <f>Q68</f>
        <v>1.7</v>
      </c>
      <c r="I162" s="497">
        <f>R68</f>
        <v>0.15</v>
      </c>
      <c r="J162" s="721">
        <f>SLOPE(H67:H69,F67:F69)</f>
        <v>2.3901310717039322E-2</v>
      </c>
      <c r="K162" s="721">
        <f>INTERCEPT(H67:H69,F67:F69)</f>
        <v>-0.41878694423027496</v>
      </c>
      <c r="L162" s="721">
        <f>SLOPE(H70:H72,F70:F72)</f>
        <v>0.14518834517177825</v>
      </c>
      <c r="M162" s="721">
        <f>INTERCEPT(H70:H72,F70:F72)</f>
        <v>-7.2471301262537358</v>
      </c>
      <c r="N162" s="721">
        <f>SLOPE(H73:H75,F73:F75)</f>
        <v>-2.0169926392810842E-3</v>
      </c>
      <c r="O162" s="722">
        <f>INTERCEPT(H73:H75,F73:F75)</f>
        <v>2.8938779877398297</v>
      </c>
    </row>
    <row r="163" spans="1:18" ht="45.95" customHeight="1" thickBot="1" x14ac:dyDescent="0.25">
      <c r="B163" s="723" t="str">
        <f>O78</f>
        <v xml:space="preserve">M-013  </v>
      </c>
      <c r="C163" s="724" t="str">
        <f>D78</f>
        <v>Lufft Opus 20</v>
      </c>
      <c r="D163" s="725" t="str">
        <f>E78</f>
        <v>19406160802033 C-I M-013</v>
      </c>
      <c r="E163" s="616" t="str">
        <f>S78</f>
        <v xml:space="preserve">2019-09-24  / 2019-09-25  / 2020-10-02 </v>
      </c>
      <c r="F163" s="724" t="str">
        <f>T78</f>
        <v>INM 4216 - INM 4217 -  INM 4703</v>
      </c>
      <c r="G163" s="562">
        <f>P79</f>
        <v>0.3</v>
      </c>
      <c r="H163" s="562">
        <f>Q79</f>
        <v>1.7</v>
      </c>
      <c r="I163" s="562">
        <f>R79</f>
        <v>0.14000000000000001</v>
      </c>
      <c r="J163" s="726">
        <f>SLOPE(H78:H80,F78:F80)</f>
        <v>1.3499905595065769E-2</v>
      </c>
      <c r="K163" s="726">
        <f>INTERCEPT(H78:H80,F78:F80)</f>
        <v>-0.31364780665869468</v>
      </c>
      <c r="L163" s="726">
        <f>SLOPE(H81:H83,F81:F83)</f>
        <v>0.101903287496585</v>
      </c>
      <c r="M163" s="726">
        <f>INTERCEPT(H81:H83,F81:F83)</f>
        <v>-5.6461160185775423</v>
      </c>
      <c r="N163" s="726">
        <f>SLOPE(H84:H86,F84:F86)</f>
        <v>-2.274176216186185E-3</v>
      </c>
      <c r="O163" s="727">
        <f>INTERCEPT(H84:H86,F84:F86)</f>
        <v>3.0586916237565838</v>
      </c>
    </row>
    <row r="167" spans="1:18" ht="35.1" customHeight="1" thickBot="1" x14ac:dyDescent="0.25"/>
    <row r="168" spans="1:18" ht="35.1" customHeight="1" thickBot="1" x14ac:dyDescent="0.25">
      <c r="A168" s="384"/>
      <c r="B168" s="1474" t="s">
        <v>524</v>
      </c>
      <c r="C168" s="1475"/>
      <c r="D168" s="1475"/>
      <c r="E168" s="1475"/>
      <c r="F168" s="1475"/>
      <c r="G168" s="1475"/>
      <c r="H168" s="1475"/>
      <c r="I168" s="1475"/>
      <c r="J168" s="1475"/>
      <c r="K168" s="1475"/>
      <c r="L168" s="1475"/>
      <c r="M168" s="1475"/>
      <c r="N168" s="1475"/>
      <c r="O168" s="1475"/>
      <c r="P168" s="1475"/>
      <c r="Q168" s="1475"/>
      <c r="R168" s="1476"/>
    </row>
    <row r="169" spans="1:18" ht="65.25" customHeight="1" thickBot="1" x14ac:dyDescent="0.25">
      <c r="A169" s="384"/>
      <c r="B169" s="313"/>
      <c r="C169" s="376"/>
      <c r="D169" s="420" t="s">
        <v>26</v>
      </c>
      <c r="E169" s="307" t="s">
        <v>164</v>
      </c>
      <c r="F169" s="307" t="s">
        <v>517</v>
      </c>
      <c r="G169" s="307" t="s">
        <v>525</v>
      </c>
      <c r="H169" s="307" t="s">
        <v>135</v>
      </c>
      <c r="I169" s="307" t="s">
        <v>99</v>
      </c>
      <c r="J169" s="307" t="s">
        <v>136</v>
      </c>
      <c r="K169" s="421" t="s">
        <v>100</v>
      </c>
      <c r="L169" s="307" t="s">
        <v>174</v>
      </c>
      <c r="M169" s="307" t="s">
        <v>521</v>
      </c>
      <c r="N169" s="307" t="s">
        <v>522</v>
      </c>
      <c r="O169" s="307" t="s">
        <v>385</v>
      </c>
      <c r="P169" s="307" t="s">
        <v>520</v>
      </c>
      <c r="Q169" s="307" t="s">
        <v>519</v>
      </c>
      <c r="R169" s="996" t="s">
        <v>518</v>
      </c>
    </row>
    <row r="170" spans="1:18" ht="35.1" customHeight="1" thickBot="1" x14ac:dyDescent="0.25">
      <c r="A170" s="384"/>
      <c r="B170" s="313"/>
      <c r="C170" s="313"/>
      <c r="D170" s="376"/>
      <c r="E170" s="376"/>
      <c r="F170" s="376"/>
      <c r="G170" s="376"/>
      <c r="H170" s="376"/>
      <c r="I170" s="376"/>
      <c r="J170" s="376"/>
      <c r="K170" s="423"/>
      <c r="L170" s="313"/>
      <c r="M170" s="334"/>
      <c r="N170" s="334"/>
    </row>
    <row r="171" spans="1:18" ht="35.1" customHeight="1" x14ac:dyDescent="0.2">
      <c r="A171" s="384"/>
      <c r="B171" s="1465" t="s">
        <v>516</v>
      </c>
      <c r="C171" s="1080" t="s">
        <v>647</v>
      </c>
      <c r="D171" s="1468" t="s">
        <v>523</v>
      </c>
      <c r="E171" s="1083" t="s">
        <v>657</v>
      </c>
      <c r="F171" s="993">
        <v>5</v>
      </c>
      <c r="G171" s="392">
        <v>0.1</v>
      </c>
      <c r="H171" s="412">
        <v>0</v>
      </c>
      <c r="I171" s="412">
        <v>0.1</v>
      </c>
      <c r="J171" s="411">
        <v>2</v>
      </c>
      <c r="K171" s="1084">
        <v>43818</v>
      </c>
      <c r="L171" s="1471" t="s">
        <v>658</v>
      </c>
      <c r="M171" s="1089">
        <f t="shared" ref="M171:M180" si="1">SLOPE($H$171:$H$180,$F$171:$F$180)</f>
        <v>9.3341871123282788E-6</v>
      </c>
      <c r="N171" s="425">
        <f t="shared" ref="N171:N180" si="2">INTERCEPT($H$171:$H$180,$F$171:$F$180)</f>
        <v>3.4780221018233304E-2</v>
      </c>
      <c r="O171" s="997">
        <f>F171</f>
        <v>5</v>
      </c>
      <c r="P171" s="636">
        <f>H171</f>
        <v>0</v>
      </c>
      <c r="Q171" s="412">
        <v>0</v>
      </c>
      <c r="R171" s="426">
        <f>ABS(P171-Q171)</f>
        <v>0</v>
      </c>
    </row>
    <row r="172" spans="1:18" ht="35.1" customHeight="1" thickBot="1" x14ac:dyDescent="0.25">
      <c r="A172" s="384"/>
      <c r="B172" s="1466"/>
      <c r="C172" s="1081" t="s">
        <v>648</v>
      </c>
      <c r="D172" s="1469"/>
      <c r="E172" s="1085" t="s">
        <v>657</v>
      </c>
      <c r="F172" s="994">
        <v>4000</v>
      </c>
      <c r="G172" s="337">
        <v>0.1</v>
      </c>
      <c r="H172" s="429">
        <v>0.1</v>
      </c>
      <c r="I172" s="429">
        <v>0.1</v>
      </c>
      <c r="J172" s="428">
        <v>2</v>
      </c>
      <c r="K172" s="1086">
        <v>43818</v>
      </c>
      <c r="L172" s="1472"/>
      <c r="M172" s="1090">
        <f t="shared" si="1"/>
        <v>9.3341871123282788E-6</v>
      </c>
      <c r="N172" s="427">
        <f t="shared" si="2"/>
        <v>3.4780221018233304E-2</v>
      </c>
      <c r="O172" s="368">
        <f t="shared" ref="O172:O180" si="3">F172</f>
        <v>4000</v>
      </c>
      <c r="P172" s="647">
        <f t="shared" ref="P172:P180" si="4">H172</f>
        <v>0.1</v>
      </c>
      <c r="Q172" s="429">
        <v>0.1</v>
      </c>
      <c r="R172" s="430">
        <f t="shared" ref="R172:R177" si="5">ABS(P172-Q172)</f>
        <v>0</v>
      </c>
    </row>
    <row r="173" spans="1:18" ht="35.1" customHeight="1" thickBot="1" x14ac:dyDescent="0.25">
      <c r="A173" s="559" t="s">
        <v>515</v>
      </c>
      <c r="B173" s="1466"/>
      <c r="C173" s="1081" t="s">
        <v>649</v>
      </c>
      <c r="D173" s="1469"/>
      <c r="E173" s="1085" t="s">
        <v>657</v>
      </c>
      <c r="F173" s="994">
        <v>8000</v>
      </c>
      <c r="G173" s="337">
        <v>0.1</v>
      </c>
      <c r="H173" s="429">
        <v>0.1</v>
      </c>
      <c r="I173" s="429">
        <v>0.1</v>
      </c>
      <c r="J173" s="428">
        <v>2</v>
      </c>
      <c r="K173" s="1086">
        <v>43818</v>
      </c>
      <c r="L173" s="1472"/>
      <c r="M173" s="1091">
        <f t="shared" si="1"/>
        <v>9.3341871123282788E-6</v>
      </c>
      <c r="N173" s="551">
        <f t="shared" si="2"/>
        <v>3.4780221018233304E-2</v>
      </c>
      <c r="O173" s="368">
        <f t="shared" si="3"/>
        <v>8000</v>
      </c>
      <c r="P173" s="647">
        <f t="shared" si="4"/>
        <v>0.1</v>
      </c>
      <c r="Q173" s="429">
        <v>0.21</v>
      </c>
      <c r="R173" s="430">
        <f t="shared" si="5"/>
        <v>0.10999999999999999</v>
      </c>
    </row>
    <row r="174" spans="1:18" ht="35.1" customHeight="1" x14ac:dyDescent="0.2">
      <c r="A174" s="384"/>
      <c r="B174" s="1466"/>
      <c r="C174" s="1081" t="s">
        <v>650</v>
      </c>
      <c r="D174" s="1469"/>
      <c r="E174" s="1085" t="s">
        <v>657</v>
      </c>
      <c r="F174" s="994">
        <v>12000</v>
      </c>
      <c r="G174" s="337">
        <v>0.1</v>
      </c>
      <c r="H174" s="429">
        <v>0.1</v>
      </c>
      <c r="I174" s="429">
        <v>0.2</v>
      </c>
      <c r="J174" s="428">
        <v>2</v>
      </c>
      <c r="K174" s="1086">
        <v>43818</v>
      </c>
      <c r="L174" s="1472"/>
      <c r="M174" s="1090">
        <f t="shared" si="1"/>
        <v>9.3341871123282788E-6</v>
      </c>
      <c r="N174" s="427">
        <f t="shared" si="2"/>
        <v>3.4780221018233304E-2</v>
      </c>
      <c r="O174" s="368">
        <f t="shared" si="3"/>
        <v>12000</v>
      </c>
      <c r="P174" s="647">
        <f t="shared" si="4"/>
        <v>0.1</v>
      </c>
      <c r="Q174" s="429">
        <v>0.31</v>
      </c>
      <c r="R174" s="430">
        <f t="shared" si="5"/>
        <v>0.21</v>
      </c>
    </row>
    <row r="175" spans="1:18" ht="35.1" customHeight="1" x14ac:dyDescent="0.2">
      <c r="A175" s="384"/>
      <c r="B175" s="1466"/>
      <c r="C175" s="1081" t="s">
        <v>651</v>
      </c>
      <c r="D175" s="1469"/>
      <c r="E175" s="1085" t="s">
        <v>657</v>
      </c>
      <c r="F175" s="994">
        <v>16000</v>
      </c>
      <c r="G175" s="337">
        <v>0.1</v>
      </c>
      <c r="H175" s="429">
        <v>0.2</v>
      </c>
      <c r="I175" s="429">
        <v>0.2</v>
      </c>
      <c r="J175" s="428">
        <v>2</v>
      </c>
      <c r="K175" s="1086">
        <v>43818</v>
      </c>
      <c r="L175" s="1472"/>
      <c r="M175" s="1090">
        <f t="shared" si="1"/>
        <v>9.3341871123282788E-6</v>
      </c>
      <c r="N175" s="427">
        <f t="shared" si="2"/>
        <v>3.4780221018233304E-2</v>
      </c>
      <c r="O175" s="368">
        <f t="shared" si="3"/>
        <v>16000</v>
      </c>
      <c r="P175" s="647">
        <f t="shared" si="4"/>
        <v>0.2</v>
      </c>
      <c r="Q175" s="429">
        <v>0.32</v>
      </c>
      <c r="R175" s="430">
        <f t="shared" si="5"/>
        <v>0.12</v>
      </c>
    </row>
    <row r="176" spans="1:18" ht="35.1" customHeight="1" x14ac:dyDescent="0.2">
      <c r="B176" s="1466"/>
      <c r="C176" s="1081" t="s">
        <v>652</v>
      </c>
      <c r="D176" s="1469"/>
      <c r="E176" s="1085" t="s">
        <v>657</v>
      </c>
      <c r="F176" s="994">
        <v>20000</v>
      </c>
      <c r="G176" s="337">
        <v>0.1</v>
      </c>
      <c r="H176" s="429">
        <v>0.3</v>
      </c>
      <c r="I176" s="429">
        <v>0.2</v>
      </c>
      <c r="J176" s="428">
        <v>2</v>
      </c>
      <c r="K176" s="1086">
        <v>43818</v>
      </c>
      <c r="L176" s="1472"/>
      <c r="M176" s="1090">
        <f t="shared" si="1"/>
        <v>9.3341871123282788E-6</v>
      </c>
      <c r="N176" s="427">
        <f t="shared" si="2"/>
        <v>3.4780221018233304E-2</v>
      </c>
      <c r="O176" s="368">
        <f t="shared" si="3"/>
        <v>20000</v>
      </c>
      <c r="P176" s="647">
        <f t="shared" si="4"/>
        <v>0.3</v>
      </c>
      <c r="Q176" s="429">
        <v>0.33</v>
      </c>
      <c r="R176" s="430">
        <f t="shared" si="5"/>
        <v>3.0000000000000027E-2</v>
      </c>
    </row>
    <row r="177" spans="1:28" ht="35.1" customHeight="1" x14ac:dyDescent="0.2">
      <c r="B177" s="1466"/>
      <c r="C177" s="1081" t="s">
        <v>653</v>
      </c>
      <c r="D177" s="1469"/>
      <c r="E177" s="1085" t="s">
        <v>657</v>
      </c>
      <c r="F177" s="994">
        <v>24000</v>
      </c>
      <c r="G177" s="337">
        <v>0.1</v>
      </c>
      <c r="H177" s="429">
        <v>0.3</v>
      </c>
      <c r="I177" s="429">
        <v>0.3</v>
      </c>
      <c r="J177" s="428">
        <v>2</v>
      </c>
      <c r="K177" s="1086">
        <v>43818</v>
      </c>
      <c r="L177" s="1472"/>
      <c r="M177" s="1090">
        <f t="shared" si="1"/>
        <v>9.3341871123282788E-6</v>
      </c>
      <c r="N177" s="427">
        <f t="shared" si="2"/>
        <v>3.4780221018233304E-2</v>
      </c>
      <c r="O177" s="368">
        <f t="shared" si="3"/>
        <v>24000</v>
      </c>
      <c r="P177" s="647">
        <f t="shared" si="4"/>
        <v>0.3</v>
      </c>
      <c r="Q177" s="429">
        <v>0.32</v>
      </c>
      <c r="R177" s="430">
        <f t="shared" si="5"/>
        <v>2.0000000000000018E-2</v>
      </c>
    </row>
    <row r="178" spans="1:28" ht="35.1" customHeight="1" x14ac:dyDescent="0.2">
      <c r="B178" s="1466"/>
      <c r="C178" s="1081" t="s">
        <v>654</v>
      </c>
      <c r="D178" s="1469"/>
      <c r="E178" s="1085" t="s">
        <v>657</v>
      </c>
      <c r="F178" s="994">
        <v>28000</v>
      </c>
      <c r="G178" s="337">
        <v>0.1</v>
      </c>
      <c r="H178" s="429">
        <v>0.2</v>
      </c>
      <c r="I178" s="429">
        <v>0.3</v>
      </c>
      <c r="J178" s="428">
        <v>2</v>
      </c>
      <c r="K178" s="1086">
        <v>43818</v>
      </c>
      <c r="L178" s="1472"/>
      <c r="M178" s="1090">
        <f t="shared" si="1"/>
        <v>9.3341871123282788E-6</v>
      </c>
      <c r="N178" s="427">
        <f t="shared" si="2"/>
        <v>3.4780221018233304E-2</v>
      </c>
      <c r="O178" s="368">
        <f t="shared" si="3"/>
        <v>28000</v>
      </c>
      <c r="P178" s="647">
        <f t="shared" si="4"/>
        <v>0.2</v>
      </c>
      <c r="Q178" s="429">
        <v>0.44</v>
      </c>
      <c r="R178" s="430">
        <f>ABS(P178-Q178)</f>
        <v>0.24</v>
      </c>
      <c r="T178" s="617"/>
      <c r="U178" s="617"/>
      <c r="V178" s="617"/>
      <c r="W178" s="617"/>
      <c r="X178" s="617"/>
      <c r="Y178" s="617"/>
      <c r="Z178" s="617"/>
      <c r="AA178" s="617"/>
      <c r="AB178" s="617"/>
    </row>
    <row r="179" spans="1:28" ht="35.1" customHeight="1" x14ac:dyDescent="0.2">
      <c r="B179" s="1466"/>
      <c r="C179" s="1081" t="s">
        <v>655</v>
      </c>
      <c r="D179" s="1469"/>
      <c r="E179" s="1085" t="s">
        <v>657</v>
      </c>
      <c r="F179" s="994">
        <v>30000</v>
      </c>
      <c r="G179" s="337">
        <v>0.1</v>
      </c>
      <c r="H179" s="429">
        <v>0.4</v>
      </c>
      <c r="I179" s="429">
        <v>0.4</v>
      </c>
      <c r="J179" s="428">
        <v>2</v>
      </c>
      <c r="K179" s="1086">
        <v>43818</v>
      </c>
      <c r="L179" s="1472"/>
      <c r="M179" s="1090">
        <f t="shared" si="1"/>
        <v>9.3341871123282788E-6</v>
      </c>
      <c r="N179" s="427">
        <f t="shared" si="2"/>
        <v>3.4780221018233304E-2</v>
      </c>
      <c r="O179" s="368">
        <f t="shared" si="3"/>
        <v>30000</v>
      </c>
      <c r="P179" s="647">
        <f t="shared" si="4"/>
        <v>0.4</v>
      </c>
      <c r="Q179" s="429">
        <v>0.49</v>
      </c>
      <c r="R179" s="430">
        <f>ABS(P179-Q179)</f>
        <v>8.9999999999999969E-2</v>
      </c>
      <c r="T179" s="617"/>
      <c r="U179" s="617"/>
      <c r="V179" s="617"/>
      <c r="W179" s="617"/>
      <c r="X179" s="617"/>
      <c r="Y179" s="617"/>
      <c r="Z179" s="617"/>
      <c r="AA179" s="617"/>
      <c r="AB179" s="617"/>
    </row>
    <row r="180" spans="1:28" ht="35.1" customHeight="1" thickBot="1" x14ac:dyDescent="0.25">
      <c r="B180" s="1467"/>
      <c r="C180" s="1082" t="s">
        <v>656</v>
      </c>
      <c r="D180" s="1470"/>
      <c r="E180" s="1087" t="s">
        <v>657</v>
      </c>
      <c r="F180" s="995">
        <v>35000</v>
      </c>
      <c r="G180" s="400">
        <v>0.1</v>
      </c>
      <c r="H180" s="431">
        <v>0.3</v>
      </c>
      <c r="I180" s="431">
        <v>0.4</v>
      </c>
      <c r="J180" s="416">
        <v>2</v>
      </c>
      <c r="K180" s="1088">
        <v>43818</v>
      </c>
      <c r="L180" s="1473"/>
      <c r="M180" s="1092">
        <f t="shared" si="1"/>
        <v>9.3341871123282788E-6</v>
      </c>
      <c r="N180" s="556">
        <f t="shared" si="2"/>
        <v>3.4780221018233304E-2</v>
      </c>
      <c r="O180" s="1000">
        <f t="shared" si="3"/>
        <v>35000</v>
      </c>
      <c r="P180" s="649">
        <f t="shared" si="4"/>
        <v>0.3</v>
      </c>
      <c r="Q180" s="431">
        <v>0.5</v>
      </c>
      <c r="R180" s="432">
        <f>ABS(P180-Q180)</f>
        <v>0.2</v>
      </c>
    </row>
    <row r="181" spans="1:28" ht="35.1" customHeight="1" thickBot="1" x14ac:dyDescent="0.25"/>
    <row r="182" spans="1:28" ht="35.1" customHeight="1" thickBot="1" x14ac:dyDescent="0.25">
      <c r="A182" s="384"/>
      <c r="B182" s="1474" t="s">
        <v>528</v>
      </c>
      <c r="C182" s="1475"/>
      <c r="D182" s="1475"/>
      <c r="E182" s="1475"/>
      <c r="F182" s="1475"/>
      <c r="G182" s="1475"/>
      <c r="H182" s="1475"/>
      <c r="I182" s="1475"/>
      <c r="J182" s="1475"/>
      <c r="K182" s="1475"/>
      <c r="L182" s="1475"/>
      <c r="M182" s="1475"/>
      <c r="N182" s="1475"/>
      <c r="O182" s="1475"/>
      <c r="P182" s="1475"/>
      <c r="Q182" s="1475"/>
      <c r="R182" s="1476"/>
    </row>
    <row r="183" spans="1:28" ht="64.5" customHeight="1" thickBot="1" x14ac:dyDescent="0.25">
      <c r="A183" s="384"/>
      <c r="B183" s="313"/>
      <c r="C183" s="376"/>
      <c r="D183" s="420" t="s">
        <v>26</v>
      </c>
      <c r="E183" s="307" t="s">
        <v>164</v>
      </c>
      <c r="F183" s="307" t="s">
        <v>533</v>
      </c>
      <c r="G183" s="307" t="s">
        <v>534</v>
      </c>
      <c r="H183" s="307" t="s">
        <v>135</v>
      </c>
      <c r="I183" s="307" t="s">
        <v>99</v>
      </c>
      <c r="J183" s="307" t="s">
        <v>136</v>
      </c>
      <c r="K183" s="421" t="s">
        <v>100</v>
      </c>
      <c r="L183" s="307" t="s">
        <v>174</v>
      </c>
      <c r="M183" s="307" t="s">
        <v>535</v>
      </c>
      <c r="N183" s="307" t="s">
        <v>536</v>
      </c>
      <c r="O183" s="307" t="s">
        <v>385</v>
      </c>
      <c r="P183" s="307" t="s">
        <v>520</v>
      </c>
      <c r="Q183" s="307" t="s">
        <v>519</v>
      </c>
      <c r="R183" s="996" t="s">
        <v>537</v>
      </c>
    </row>
    <row r="184" spans="1:28" ht="35.1" customHeight="1" thickBot="1" x14ac:dyDescent="0.25">
      <c r="A184" s="384"/>
      <c r="B184" s="313"/>
      <c r="C184" s="313"/>
      <c r="D184" s="376"/>
      <c r="E184" s="376"/>
      <c r="F184" s="376"/>
      <c r="G184" s="376"/>
      <c r="H184" s="376"/>
      <c r="I184" s="376"/>
      <c r="J184" s="376"/>
      <c r="K184" s="423"/>
      <c r="L184" s="313"/>
      <c r="M184" s="334"/>
      <c r="N184" s="334"/>
    </row>
    <row r="185" spans="1:28" ht="35.1" customHeight="1" thickBot="1" x14ac:dyDescent="0.25">
      <c r="A185" s="559" t="s">
        <v>529</v>
      </c>
      <c r="B185" s="1582" t="s">
        <v>530</v>
      </c>
      <c r="C185" s="1025" t="s">
        <v>538</v>
      </c>
      <c r="D185" s="1600" t="s">
        <v>532</v>
      </c>
      <c r="E185" s="1024">
        <v>5678</v>
      </c>
      <c r="F185" s="993">
        <v>8</v>
      </c>
      <c r="G185" s="1008" t="s">
        <v>531</v>
      </c>
      <c r="H185" s="1009" t="s">
        <v>531</v>
      </c>
      <c r="I185" s="435">
        <v>0.14000000000000001</v>
      </c>
      <c r="J185" s="411">
        <v>2</v>
      </c>
      <c r="K185" s="1019" t="s">
        <v>531</v>
      </c>
      <c r="L185" s="1602" t="s">
        <v>531</v>
      </c>
      <c r="M185" s="1020" t="s">
        <v>531</v>
      </c>
      <c r="N185" s="1010" t="s">
        <v>531</v>
      </c>
      <c r="O185" s="997">
        <f>F185</f>
        <v>8</v>
      </c>
      <c r="P185" s="636" t="str">
        <f>H185</f>
        <v>N/A</v>
      </c>
      <c r="Q185" s="1009" t="s">
        <v>531</v>
      </c>
      <c r="R185" s="1011" t="s">
        <v>531</v>
      </c>
    </row>
    <row r="186" spans="1:28" ht="35.1" customHeight="1" thickBot="1" x14ac:dyDescent="0.25">
      <c r="A186" s="384"/>
      <c r="B186" s="1584"/>
      <c r="C186" s="1021"/>
      <c r="D186" s="1601"/>
      <c r="E186" s="1022"/>
      <c r="F186" s="995"/>
      <c r="G186" s="400"/>
      <c r="H186" s="431"/>
      <c r="I186" s="431"/>
      <c r="J186" s="416"/>
      <c r="K186" s="626"/>
      <c r="L186" s="1603"/>
      <c r="M186" s="1023"/>
      <c r="N186" s="556"/>
      <c r="O186" s="1000"/>
      <c r="P186" s="649"/>
      <c r="Q186" s="431"/>
      <c r="R186" s="432"/>
    </row>
    <row r="187" spans="1:28" ht="35.1" customHeight="1" x14ac:dyDescent="0.2">
      <c r="B187" s="1012"/>
      <c r="C187" s="1013"/>
      <c r="D187" s="321"/>
      <c r="E187" s="1014"/>
      <c r="F187" s="1015"/>
      <c r="G187" s="989"/>
      <c r="H187" s="989"/>
      <c r="I187" s="989"/>
      <c r="J187" s="520"/>
      <c r="K187" s="461"/>
      <c r="L187" s="1016"/>
      <c r="M187" s="1017"/>
      <c r="N187" s="532"/>
      <c r="O187" s="1018"/>
      <c r="P187" s="520"/>
      <c r="Q187" s="989"/>
      <c r="R187" s="522"/>
    </row>
    <row r="188" spans="1:28" ht="35.1" customHeight="1" thickBot="1" x14ac:dyDescent="0.25">
      <c r="A188" s="384"/>
      <c r="B188" s="1012"/>
      <c r="C188" s="1013"/>
      <c r="D188" s="321"/>
      <c r="E188" s="1014"/>
      <c r="F188" s="1015"/>
      <c r="G188" s="989"/>
      <c r="H188" s="989"/>
      <c r="I188" s="989"/>
      <c r="J188" s="520"/>
      <c r="K188" s="461"/>
      <c r="L188" s="1016"/>
      <c r="M188" s="1017"/>
      <c r="N188" s="532"/>
      <c r="O188" s="1018"/>
      <c r="P188" s="520"/>
      <c r="Q188" s="989"/>
      <c r="R188" s="522"/>
    </row>
    <row r="189" spans="1:28" ht="35.1" customHeight="1" thickBot="1" x14ac:dyDescent="0.25">
      <c r="A189" s="384"/>
      <c r="B189" s="1474" t="s">
        <v>528</v>
      </c>
      <c r="C189" s="1475"/>
      <c r="D189" s="1475"/>
      <c r="E189" s="1475"/>
      <c r="F189" s="1475"/>
      <c r="G189" s="1475"/>
      <c r="H189" s="1475"/>
      <c r="I189" s="1475"/>
      <c r="J189" s="1475"/>
      <c r="K189" s="1475"/>
      <c r="L189" s="1475"/>
      <c r="M189" s="1475"/>
      <c r="N189" s="1475"/>
      <c r="O189" s="1475"/>
      <c r="P189" s="1475"/>
      <c r="Q189" s="1475"/>
      <c r="R189" s="1476"/>
    </row>
    <row r="190" spans="1:28" ht="80.25" customHeight="1" thickBot="1" x14ac:dyDescent="0.25">
      <c r="A190" s="384"/>
      <c r="B190" s="313"/>
      <c r="C190" s="376"/>
      <c r="D190" s="420" t="s">
        <v>26</v>
      </c>
      <c r="E190" s="307" t="s">
        <v>164</v>
      </c>
      <c r="F190" s="307" t="s">
        <v>533</v>
      </c>
      <c r="G190" s="307" t="s">
        <v>589</v>
      </c>
      <c r="H190" s="307" t="s">
        <v>135</v>
      </c>
      <c r="I190" s="307" t="s">
        <v>99</v>
      </c>
      <c r="J190" s="307" t="s">
        <v>136</v>
      </c>
      <c r="K190" s="421" t="s">
        <v>100</v>
      </c>
      <c r="L190" s="307" t="s">
        <v>174</v>
      </c>
      <c r="M190" s="307" t="s">
        <v>535</v>
      </c>
      <c r="N190" s="307" t="s">
        <v>536</v>
      </c>
      <c r="O190" s="307" t="s">
        <v>385</v>
      </c>
      <c r="P190" s="307" t="s">
        <v>520</v>
      </c>
      <c r="Q190" s="307" t="s">
        <v>519</v>
      </c>
      <c r="R190" s="996" t="s">
        <v>537</v>
      </c>
    </row>
    <row r="191" spans="1:28" ht="35.1" customHeight="1" thickBot="1" x14ac:dyDescent="0.25">
      <c r="A191" s="384"/>
      <c r="B191" s="313"/>
      <c r="C191" s="313"/>
      <c r="D191" s="376"/>
      <c r="E191" s="376"/>
      <c r="F191" s="376"/>
      <c r="G191" s="376"/>
      <c r="H191" s="376"/>
      <c r="I191" s="376"/>
      <c r="J191" s="376"/>
      <c r="K191" s="423"/>
      <c r="L191" s="313"/>
      <c r="M191" s="334"/>
      <c r="N191" s="334"/>
    </row>
    <row r="192" spans="1:28" ht="35.1" customHeight="1" thickBot="1" x14ac:dyDescent="0.25">
      <c r="A192" s="559" t="s">
        <v>586</v>
      </c>
      <c r="B192" s="1582" t="s">
        <v>588</v>
      </c>
      <c r="C192" s="1025" t="s">
        <v>587</v>
      </c>
      <c r="D192" s="1600" t="s">
        <v>731</v>
      </c>
      <c r="E192" s="1024" t="s">
        <v>590</v>
      </c>
      <c r="F192" s="1053" t="s">
        <v>531</v>
      </c>
      <c r="G192" s="1054">
        <v>2.0000000000000002E-5</v>
      </c>
      <c r="H192" s="1009" t="s">
        <v>531</v>
      </c>
      <c r="I192" s="1074">
        <v>4.4999999999999998E-7</v>
      </c>
      <c r="J192" s="411">
        <v>1</v>
      </c>
      <c r="K192" s="1019" t="s">
        <v>531</v>
      </c>
      <c r="L192" s="1602" t="s">
        <v>531</v>
      </c>
      <c r="M192" s="1020" t="s">
        <v>531</v>
      </c>
      <c r="N192" s="1010" t="s">
        <v>531</v>
      </c>
      <c r="O192" s="997" t="str">
        <f>F192</f>
        <v>N/A</v>
      </c>
      <c r="P192" s="636" t="str">
        <f>H192</f>
        <v>N/A</v>
      </c>
      <c r="Q192" s="1009" t="s">
        <v>531</v>
      </c>
      <c r="R192" s="1011" t="s">
        <v>531</v>
      </c>
    </row>
    <row r="193" spans="1:18" ht="35.1" customHeight="1" thickBot="1" x14ac:dyDescent="0.25">
      <c r="A193" s="384"/>
      <c r="B193" s="1584"/>
      <c r="C193" s="1021"/>
      <c r="D193" s="1601"/>
      <c r="E193" s="1022"/>
      <c r="F193" s="995"/>
      <c r="G193" s="400"/>
      <c r="H193" s="431"/>
      <c r="I193" s="431"/>
      <c r="J193" s="416"/>
      <c r="K193" s="626"/>
      <c r="L193" s="1603"/>
      <c r="M193" s="1023"/>
      <c r="N193" s="556"/>
      <c r="O193" s="1000"/>
      <c r="P193" s="649"/>
      <c r="Q193" s="431"/>
      <c r="R193" s="432"/>
    </row>
    <row r="227" spans="74:77" ht="35.1" customHeight="1" x14ac:dyDescent="0.25">
      <c r="BV227" s="328"/>
      <c r="BW227" s="328"/>
      <c r="BX227" s="328"/>
      <c r="BY227" s="328"/>
    </row>
    <row r="228" spans="74:77" ht="35.1" customHeight="1" x14ac:dyDescent="0.25">
      <c r="BV228" s="328"/>
      <c r="BW228" s="328"/>
      <c r="BX228" s="328"/>
      <c r="BY228" s="328"/>
    </row>
    <row r="229" spans="74:77" ht="35.1" customHeight="1" x14ac:dyDescent="0.25">
      <c r="BV229" s="328"/>
      <c r="BW229" s="328"/>
      <c r="BX229" s="328"/>
      <c r="BY229" s="328"/>
    </row>
    <row r="230" spans="74:77" ht="35.1" customHeight="1" x14ac:dyDescent="0.25">
      <c r="BV230" s="328"/>
      <c r="BW230" s="328"/>
      <c r="BX230" s="328"/>
      <c r="BY230" s="328"/>
    </row>
  </sheetData>
  <sheetProtection password="CF5C" sheet="1" objects="1" scenarios="1"/>
  <dataConsolidate/>
  <mergeCells count="107">
    <mergeCell ref="B189:R189"/>
    <mergeCell ref="B192:B193"/>
    <mergeCell ref="D192:D193"/>
    <mergeCell ref="L192:L193"/>
    <mergeCell ref="B182:R182"/>
    <mergeCell ref="B185:B186"/>
    <mergeCell ref="D185:D186"/>
    <mergeCell ref="L185:L186"/>
    <mergeCell ref="E1:V1"/>
    <mergeCell ref="V30:V31"/>
    <mergeCell ref="S30:S31"/>
    <mergeCell ref="T30:T31"/>
    <mergeCell ref="Q8:U8"/>
    <mergeCell ref="S9:U9"/>
    <mergeCell ref="P7:U7"/>
    <mergeCell ref="Q9:R9"/>
    <mergeCell ref="T14:V14"/>
    <mergeCell ref="D5:N5"/>
    <mergeCell ref="B11:N12"/>
    <mergeCell ref="B28:O28"/>
    <mergeCell ref="B21:O21"/>
    <mergeCell ref="Q24:T25"/>
    <mergeCell ref="A1:D1"/>
    <mergeCell ref="L38:L42"/>
    <mergeCell ref="B29:B32"/>
    <mergeCell ref="B38:B42"/>
    <mergeCell ref="D38:D42"/>
    <mergeCell ref="S32:V32"/>
    <mergeCell ref="B35:R35"/>
    <mergeCell ref="L44:L48"/>
    <mergeCell ref="S67:S69"/>
    <mergeCell ref="T54:T55"/>
    <mergeCell ref="A56:B58"/>
    <mergeCell ref="B44:B48"/>
    <mergeCell ref="L56:L58"/>
    <mergeCell ref="C53:T53"/>
    <mergeCell ref="O54:O55"/>
    <mergeCell ref="P54:R55"/>
    <mergeCell ref="S54:S55"/>
    <mergeCell ref="D44:D48"/>
    <mergeCell ref="C51:T52"/>
    <mergeCell ref="T57:T59"/>
    <mergeCell ref="O57:O59"/>
    <mergeCell ref="O67:O69"/>
    <mergeCell ref="A95:B97"/>
    <mergeCell ref="A81:B83"/>
    <mergeCell ref="L70:L72"/>
    <mergeCell ref="A92:B94"/>
    <mergeCell ref="A70:B72"/>
    <mergeCell ref="A84:B86"/>
    <mergeCell ref="L78:L80"/>
    <mergeCell ref="L92:L94"/>
    <mergeCell ref="A78:B80"/>
    <mergeCell ref="L81:L83"/>
    <mergeCell ref="O78:O80"/>
    <mergeCell ref="A62:B64"/>
    <mergeCell ref="A59:B61"/>
    <mergeCell ref="A67:B69"/>
    <mergeCell ref="A73:B75"/>
    <mergeCell ref="A89:B91"/>
    <mergeCell ref="L73:L75"/>
    <mergeCell ref="L84:L86"/>
    <mergeCell ref="L62:L64"/>
    <mergeCell ref="L59:L61"/>
    <mergeCell ref="S100:S102"/>
    <mergeCell ref="S57:S59"/>
    <mergeCell ref="A103:B105"/>
    <mergeCell ref="L103:L105"/>
    <mergeCell ref="B110:W110"/>
    <mergeCell ref="B130:B132"/>
    <mergeCell ref="O128:Q128"/>
    <mergeCell ref="A106:B108"/>
    <mergeCell ref="L106:L108"/>
    <mergeCell ref="T100:T102"/>
    <mergeCell ref="A100:B102"/>
    <mergeCell ref="O100:O102"/>
    <mergeCell ref="L100:L102"/>
    <mergeCell ref="B129:L129"/>
    <mergeCell ref="B119:AA119"/>
    <mergeCell ref="L95:L97"/>
    <mergeCell ref="T67:T69"/>
    <mergeCell ref="L67:L69"/>
    <mergeCell ref="T89:T91"/>
    <mergeCell ref="L89:L91"/>
    <mergeCell ref="S78:S80"/>
    <mergeCell ref="T78:T80"/>
    <mergeCell ref="S89:S91"/>
    <mergeCell ref="O89:O91"/>
    <mergeCell ref="B171:B180"/>
    <mergeCell ref="D171:D180"/>
    <mergeCell ref="L171:L180"/>
    <mergeCell ref="B168:R168"/>
    <mergeCell ref="AH111:AI111"/>
    <mergeCell ref="O134:Q134"/>
    <mergeCell ref="O140:Q140"/>
    <mergeCell ref="O146:Q146"/>
    <mergeCell ref="AC111:AF111"/>
    <mergeCell ref="AC112:AF112"/>
    <mergeCell ref="N120:O120"/>
    <mergeCell ref="B120:B127"/>
    <mergeCell ref="B111:B117"/>
    <mergeCell ref="O152:Q152"/>
    <mergeCell ref="B146:B152"/>
    <mergeCell ref="B138:B144"/>
    <mergeCell ref="B135:L135"/>
    <mergeCell ref="D138:D144"/>
    <mergeCell ref="D146:D152"/>
  </mergeCells>
  <dataValidations count="2">
    <dataValidation type="list" allowBlank="1" showInputMessage="1" showErrorMessage="1" sqref="H14" xr:uid="{00000000-0002-0000-0000-000000000000}">
      <formula1>$AC$114:$AC$118</formula1>
    </dataValidation>
    <dataValidation type="list" allowBlank="1" showInputMessage="1" showErrorMessage="1" sqref="J14" xr:uid="{00000000-0002-0000-0000-000001000000}">
      <formula1>$AH$115:$AH$117</formula1>
    </dataValidation>
  </dataValidations>
  <pageMargins left="0.70866141732283472" right="0.70866141732283472" top="0.74803149606299213" bottom="0.74803149606299213" header="0.31496062992125984" footer="0.31496062992125984"/>
  <pageSetup scale="10" pageOrder="overThenDown" orientation="portrait" horizontalDpi="4294967293" r:id="rId1"/>
  <headerFooter>
    <oddFooter>&amp;RRT03-F33 Vr.6 (2021-05-22)</oddFooter>
  </headerFooter>
  <rowBreaks count="2" manualBreakCount="2">
    <brk id="50" max="16383" man="1"/>
    <brk id="108" max="16383" man="1"/>
  </rowBreaks>
  <ignoredErrors>
    <ignoredError sqref="P58:Q58 P68:R68 P79:R79 P90:R90 P101:R101 J159:J163 K159:K163 L159:L163 M159:M163 N159:N163" formulaRange="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66CC"/>
  </sheetPr>
  <dimension ref="D1:J21"/>
  <sheetViews>
    <sheetView workbookViewId="0">
      <selection activeCell="D1" sqref="D1:D11"/>
    </sheetView>
  </sheetViews>
  <sheetFormatPr baseColWidth="10" defaultRowHeight="15" x14ac:dyDescent="0.25"/>
  <sheetData>
    <row r="1" spans="4:6" x14ac:dyDescent="0.25">
      <c r="D1" s="1079">
        <v>5</v>
      </c>
      <c r="E1" s="1078">
        <v>0</v>
      </c>
      <c r="F1" s="1078">
        <v>0.1</v>
      </c>
    </row>
    <row r="2" spans="4:6" x14ac:dyDescent="0.25">
      <c r="D2" s="1079">
        <v>4000</v>
      </c>
      <c r="E2" s="1078">
        <v>0.1</v>
      </c>
      <c r="F2" s="1078">
        <v>0.1</v>
      </c>
    </row>
    <row r="3" spans="4:6" x14ac:dyDescent="0.25">
      <c r="D3" s="1079">
        <v>8000</v>
      </c>
      <c r="E3" s="1078">
        <v>0.1</v>
      </c>
      <c r="F3" s="1078">
        <v>0.1</v>
      </c>
    </row>
    <row r="4" spans="4:6" x14ac:dyDescent="0.25">
      <c r="D4" s="1079">
        <v>12000</v>
      </c>
      <c r="E4" s="1078">
        <v>0.1</v>
      </c>
      <c r="F4" s="1078">
        <v>0.2</v>
      </c>
    </row>
    <row r="5" spans="4:6" x14ac:dyDescent="0.25">
      <c r="D5" s="1079">
        <v>16000</v>
      </c>
      <c r="E5" s="1078">
        <v>0.2</v>
      </c>
      <c r="F5" s="1078">
        <v>0.2</v>
      </c>
    </row>
    <row r="6" spans="4:6" x14ac:dyDescent="0.25">
      <c r="D6" s="1079">
        <v>20000</v>
      </c>
      <c r="E6" s="1078">
        <v>0.3</v>
      </c>
      <c r="F6" s="1078">
        <v>0.2</v>
      </c>
    </row>
    <row r="7" spans="4:6" x14ac:dyDescent="0.25">
      <c r="D7" s="1079">
        <v>24000</v>
      </c>
      <c r="E7" s="1078">
        <v>0.3</v>
      </c>
      <c r="F7" s="1078">
        <v>0.3</v>
      </c>
    </row>
    <row r="8" spans="4:6" x14ac:dyDescent="0.25">
      <c r="D8" s="1079">
        <v>28000</v>
      </c>
      <c r="E8" s="1078">
        <v>0.2</v>
      </c>
      <c r="F8" s="1078">
        <v>0.3</v>
      </c>
    </row>
    <row r="9" spans="4:6" x14ac:dyDescent="0.25">
      <c r="D9" s="1079">
        <v>30000</v>
      </c>
      <c r="E9" s="1078">
        <v>0.4</v>
      </c>
      <c r="F9" s="1078">
        <v>0.4</v>
      </c>
    </row>
    <row r="10" spans="4:6" x14ac:dyDescent="0.25">
      <c r="D10" s="1079">
        <v>35000</v>
      </c>
      <c r="E10" s="1078">
        <v>0.3</v>
      </c>
      <c r="F10" s="1078">
        <v>0.4</v>
      </c>
    </row>
    <row r="12" spans="4:6" x14ac:dyDescent="0.25">
      <c r="E12">
        <v>0</v>
      </c>
    </row>
    <row r="13" spans="4:6" x14ac:dyDescent="0.25">
      <c r="E13">
        <v>0.1</v>
      </c>
    </row>
    <row r="14" spans="4:6" x14ac:dyDescent="0.25">
      <c r="E14">
        <v>0.21</v>
      </c>
    </row>
    <row r="15" spans="4:6" x14ac:dyDescent="0.25">
      <c r="E15">
        <v>0.31</v>
      </c>
    </row>
    <row r="16" spans="4:6" x14ac:dyDescent="0.25">
      <c r="E16">
        <v>0.32</v>
      </c>
    </row>
    <row r="17" spans="5:10" x14ac:dyDescent="0.25">
      <c r="E17">
        <v>0.33</v>
      </c>
    </row>
    <row r="18" spans="5:10" x14ac:dyDescent="0.25">
      <c r="E18">
        <v>0.32</v>
      </c>
    </row>
    <row r="19" spans="5:10" x14ac:dyDescent="0.25">
      <c r="E19">
        <v>0.44</v>
      </c>
      <c r="I19">
        <v>18.933039999999998</v>
      </c>
      <c r="J19">
        <f>5*3.785412</f>
        <v>18.927060000000001</v>
      </c>
    </row>
    <row r="20" spans="5:10" x14ac:dyDescent="0.25">
      <c r="E20">
        <v>0.49</v>
      </c>
      <c r="I20">
        <f>I19*1000</f>
        <v>18933.039999999997</v>
      </c>
      <c r="J20">
        <f>J19*1000</f>
        <v>18927.060000000001</v>
      </c>
    </row>
    <row r="21" spans="5:10" x14ac:dyDescent="0.25">
      <c r="E21">
        <v>0.5</v>
      </c>
      <c r="J21" s="1077">
        <f>I20-J20</f>
        <v>5.9799999999959255</v>
      </c>
    </row>
  </sheetData>
  <sheetProtection password="CF5C"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66CC"/>
  </sheetPr>
  <dimension ref="A1:AE207"/>
  <sheetViews>
    <sheetView showGridLines="0" tabSelected="1" view="pageBreakPreview" zoomScale="40" zoomScaleNormal="40" zoomScaleSheetLayoutView="40" workbookViewId="0">
      <selection activeCell="D1" sqref="D1:R1"/>
    </sheetView>
  </sheetViews>
  <sheetFormatPr baseColWidth="10" defaultColWidth="11.42578125" defaultRowHeight="15" x14ac:dyDescent="0.2"/>
  <cols>
    <col min="1" max="1" width="52" style="4" customWidth="1"/>
    <col min="2" max="2" width="28" style="4" bestFit="1" customWidth="1"/>
    <col min="3" max="3" width="25.42578125" style="4" customWidth="1"/>
    <col min="4" max="4" width="16.7109375" style="4" customWidth="1"/>
    <col min="5" max="5" width="17.28515625" style="4" customWidth="1"/>
    <col min="6" max="6" width="17.7109375" style="4" bestFit="1" customWidth="1"/>
    <col min="7" max="7" width="19.140625" style="4" customWidth="1"/>
    <col min="8" max="8" width="17.5703125" style="4" customWidth="1"/>
    <col min="9" max="9" width="24.7109375" style="4" customWidth="1"/>
    <col min="10" max="10" width="15.7109375" style="4" customWidth="1"/>
    <col min="11" max="11" width="20.7109375" style="4" customWidth="1"/>
    <col min="12" max="12" width="21.42578125" style="4" customWidth="1"/>
    <col min="13" max="13" width="19.42578125" style="4" customWidth="1"/>
    <col min="14" max="14" width="17.85546875" style="4" customWidth="1"/>
    <col min="15" max="16" width="25" style="4" customWidth="1"/>
    <col min="17" max="17" width="15.5703125" style="4" customWidth="1"/>
    <col min="18" max="18" width="16.28515625" style="4" customWidth="1"/>
    <col min="19" max="19" width="18.85546875" style="4" customWidth="1"/>
    <col min="20" max="24" width="11.42578125" style="4"/>
    <col min="25" max="25" width="11.7109375" style="4" customWidth="1"/>
    <col min="26" max="16384" width="11.42578125" style="4"/>
  </cols>
  <sheetData>
    <row r="1" spans="1:19" s="15" customFormat="1" ht="75" customHeight="1" thickBot="1" x14ac:dyDescent="0.3">
      <c r="A1" s="1704"/>
      <c r="B1" s="1705"/>
      <c r="C1" s="201"/>
      <c r="D1" s="1706" t="s">
        <v>672</v>
      </c>
      <c r="E1" s="1707"/>
      <c r="F1" s="1707"/>
      <c r="G1" s="1707"/>
      <c r="H1" s="1707"/>
      <c r="I1" s="1707"/>
      <c r="J1" s="1707"/>
      <c r="K1" s="1707"/>
      <c r="L1" s="1707"/>
      <c r="M1" s="1707"/>
      <c r="N1" s="1707"/>
      <c r="O1" s="1707"/>
      <c r="P1" s="1707"/>
      <c r="Q1" s="1707"/>
      <c r="R1" s="1708"/>
      <c r="S1" s="246"/>
    </row>
    <row r="2" spans="1:19" s="250" customFormat="1" ht="5.0999999999999996" customHeight="1" thickBot="1" x14ac:dyDescent="0.3">
      <c r="A2" s="247"/>
      <c r="B2" s="247"/>
      <c r="C2" s="248"/>
      <c r="D2" s="249"/>
      <c r="E2" s="249"/>
      <c r="F2" s="249"/>
      <c r="G2" s="249"/>
      <c r="H2" s="249"/>
      <c r="I2" s="249"/>
      <c r="J2" s="249"/>
      <c r="K2" s="249"/>
      <c r="L2" s="249"/>
      <c r="M2" s="249"/>
      <c r="N2" s="249"/>
      <c r="O2" s="249"/>
      <c r="P2" s="249"/>
      <c r="Q2" s="249"/>
      <c r="R2" s="249"/>
    </row>
    <row r="3" spans="1:19" s="18" customFormat="1" ht="36" customHeight="1" thickBot="1" x14ac:dyDescent="0.3">
      <c r="A3" s="251" t="s">
        <v>34</v>
      </c>
      <c r="B3" s="252" t="e">
        <f>VLOOKUP($S3,'DATOS &amp;'!$D$7:$N$19,2,FALSE)</f>
        <v>#N/A</v>
      </c>
      <c r="C3" s="253" t="s">
        <v>677</v>
      </c>
      <c r="D3" s="1709" t="e">
        <f>VLOOKUP($S$3,'DATOS &amp;'!$D$7:$N$19,3,FALSE)</f>
        <v>#N/A</v>
      </c>
      <c r="E3" s="1710"/>
      <c r="F3" s="253" t="s">
        <v>230</v>
      </c>
      <c r="G3" s="1711" t="e">
        <f>VLOOKUP($S$3,'DATOS &amp;'!$D$7:$N$19,7,FALSE)</f>
        <v>#N/A</v>
      </c>
      <c r="H3" s="1711"/>
      <c r="I3" s="253" t="s">
        <v>674</v>
      </c>
      <c r="J3" s="1711" t="e">
        <f>VLOOKUP($S$3,'DATOS &amp;'!$D$7:$N$19,4,FALSE)</f>
        <v>#N/A</v>
      </c>
      <c r="K3" s="1711"/>
      <c r="L3" s="253" t="s">
        <v>675</v>
      </c>
      <c r="M3" s="1709" t="e">
        <f>VLOOKUP($S$3,'DATOS &amp;'!$D$7:$N$19,6,FALSE)</f>
        <v>#N/A</v>
      </c>
      <c r="N3" s="1710"/>
      <c r="O3" s="1239" t="s">
        <v>676</v>
      </c>
      <c r="P3" s="1711" t="e">
        <f>VLOOKUP($S$3,'DATOS &amp;'!$D$7:$N$19,11,FALSE)</f>
        <v>#N/A</v>
      </c>
      <c r="Q3" s="1711"/>
      <c r="R3" s="1712"/>
      <c r="S3" s="254"/>
    </row>
    <row r="4" spans="1:19" s="18" customFormat="1" ht="5.0999999999999996" customHeight="1" thickBot="1" x14ac:dyDescent="0.3"/>
    <row r="5" spans="1:19" s="18" customFormat="1" ht="30" customHeight="1" thickBot="1" x14ac:dyDescent="0.3">
      <c r="A5" s="1694" t="s">
        <v>43</v>
      </c>
      <c r="B5" s="1695"/>
      <c r="C5" s="1695"/>
      <c r="D5" s="1695"/>
      <c r="E5" s="1695"/>
      <c r="F5" s="1695"/>
      <c r="G5" s="1695"/>
      <c r="H5" s="1695"/>
      <c r="I5" s="1695"/>
      <c r="J5" s="1695"/>
      <c r="K5" s="1695"/>
      <c r="L5" s="1695"/>
      <c r="M5" s="1695"/>
      <c r="N5" s="1695"/>
      <c r="O5" s="1695"/>
      <c r="P5" s="1695"/>
      <c r="Q5" s="1695"/>
      <c r="R5" s="1696"/>
    </row>
    <row r="6" spans="1:19" s="15" customFormat="1" ht="67.5" customHeight="1" thickBot="1" x14ac:dyDescent="0.3">
      <c r="A6" s="255" t="s">
        <v>11</v>
      </c>
      <c r="B6" s="1236" t="s">
        <v>678</v>
      </c>
      <c r="C6" s="256" t="s">
        <v>673</v>
      </c>
      <c r="D6" s="256" t="s">
        <v>44</v>
      </c>
      <c r="E6" s="256" t="s">
        <v>101</v>
      </c>
      <c r="F6" s="256" t="s">
        <v>44</v>
      </c>
      <c r="G6" s="256" t="s">
        <v>135</v>
      </c>
      <c r="H6" s="256" t="s">
        <v>44</v>
      </c>
      <c r="I6" s="256" t="s">
        <v>99</v>
      </c>
      <c r="J6" s="256" t="s">
        <v>44</v>
      </c>
      <c r="K6" s="1238" t="s">
        <v>378</v>
      </c>
      <c r="L6" s="256" t="s">
        <v>44</v>
      </c>
      <c r="M6" s="256" t="s">
        <v>231</v>
      </c>
      <c r="N6" s="256" t="s">
        <v>44</v>
      </c>
      <c r="O6" s="256" t="s">
        <v>136</v>
      </c>
      <c r="P6" s="256" t="s">
        <v>100</v>
      </c>
      <c r="Q6" s="1697" t="s">
        <v>114</v>
      </c>
      <c r="R6" s="1698"/>
    </row>
    <row r="7" spans="1:19" s="15" customFormat="1" ht="29.25" customHeight="1" thickBot="1" x14ac:dyDescent="0.3">
      <c r="A7" s="1099" t="s">
        <v>530</v>
      </c>
      <c r="B7" s="1101" t="e">
        <f>VLOOKUP(S7,'DATOS &amp;'!C184:R187,3,FALSE)</f>
        <v>#N/A</v>
      </c>
      <c r="C7" s="1102" t="e">
        <f>VLOOKUP(S7,'DATOS &amp;'!C184:R187,4,FALSE)</f>
        <v>#N/A</v>
      </c>
      <c r="D7" s="1105" t="s">
        <v>659</v>
      </c>
      <c r="E7" s="1115" t="e">
        <f>VLOOKUP(S7,'DATOS &amp;'!C184:R187,5,FALSE)</f>
        <v>#N/A</v>
      </c>
      <c r="F7" s="1105" t="s">
        <v>659</v>
      </c>
      <c r="G7" s="1117" t="e">
        <f>VLOOKUP(S7,'DATOS &amp;'!C184:R187,6,FALSE)</f>
        <v>#N/A</v>
      </c>
      <c r="H7" s="1105" t="s">
        <v>659</v>
      </c>
      <c r="I7" s="1116" t="e">
        <f>VLOOKUP(S7,'DATOS &amp;'!C184:R187,7,FALSE)</f>
        <v>#N/A</v>
      </c>
      <c r="J7" s="1105" t="s">
        <v>659</v>
      </c>
      <c r="K7" s="1118" t="e">
        <f>VLOOKUP(S7,'DATOS &amp;'!C184:R187,16,FALSE)</f>
        <v>#N/A</v>
      </c>
      <c r="L7" s="1105" t="s">
        <v>659</v>
      </c>
      <c r="M7" s="1110" t="e">
        <f>SQRT((I7/2)^2)</f>
        <v>#N/A</v>
      </c>
      <c r="N7" s="1105" t="s">
        <v>659</v>
      </c>
      <c r="O7" s="1115" t="e">
        <f>VLOOKUP(S7,'DATOS &amp;'!C184:R187,8,FALSE)</f>
        <v>#N/A</v>
      </c>
      <c r="P7" s="1114" t="e">
        <f>VLOOKUP(S7,'DATOS &amp;'!C184:R187,9,FALSE)</f>
        <v>#N/A</v>
      </c>
      <c r="Q7" s="1119"/>
      <c r="R7" s="1120"/>
      <c r="S7" s="1098"/>
    </row>
    <row r="8" spans="1:19" s="15" customFormat="1" ht="15.75" x14ac:dyDescent="0.25">
      <c r="A8" s="1699" t="s">
        <v>45</v>
      </c>
      <c r="B8" s="259" t="e">
        <f>VLOOKUP(S8,'DATOS &amp;'!$C$37:$R$48,3,FALSE)</f>
        <v>#N/A</v>
      </c>
      <c r="C8" s="260" t="e">
        <f>VLOOKUP(S8,'DATOS &amp;'!$C$37:$R$50,4,FALSE)</f>
        <v>#N/A</v>
      </c>
      <c r="D8" s="261" t="s">
        <v>1</v>
      </c>
      <c r="E8" s="260" t="e">
        <f>VLOOKUP(S8,'DATOS &amp;'!$C$37:$R$50,5,FALSE)</f>
        <v>#N/A</v>
      </c>
      <c r="F8" s="262" t="s">
        <v>1</v>
      </c>
      <c r="G8" s="260" t="e">
        <f>VLOOKUP(S8,'DATOS &amp;'!$C$37:$R$50,6,FALSE)</f>
        <v>#N/A</v>
      </c>
      <c r="H8" s="262" t="s">
        <v>1</v>
      </c>
      <c r="I8" s="260" t="e">
        <f>VLOOKUP(S8,'DATOS &amp;'!$C$37:$R$50,7,FALSE)</f>
        <v>#N/A</v>
      </c>
      <c r="J8" s="262" t="s">
        <v>1</v>
      </c>
      <c r="K8" s="565" t="e">
        <f>VLOOKUP(S8,'DATOS &amp;'!$C$37:$R$50,16,FALSE)</f>
        <v>#N/A</v>
      </c>
      <c r="L8" s="262" t="s">
        <v>1</v>
      </c>
      <c r="M8" s="1122" t="e">
        <f t="shared" ref="M8:M34" si="0">SQRT((I8/2)^2+(K8/SQRT(12))^2)</f>
        <v>#N/A</v>
      </c>
      <c r="N8" s="262" t="s">
        <v>1</v>
      </c>
      <c r="O8" s="263" t="e">
        <f>VLOOKUP(S8,'DATOS &amp;'!$C$37:$R$50,8,FALSE)</f>
        <v>#N/A</v>
      </c>
      <c r="P8" s="257" t="e">
        <f>VLOOKUP(S8,'DATOS &amp;'!$C$37:$R$50,9,FALSE)</f>
        <v>#N/A</v>
      </c>
      <c r="Q8" s="992"/>
      <c r="R8" s="105"/>
      <c r="S8" s="264"/>
    </row>
    <row r="9" spans="1:19" s="15" customFormat="1" ht="15.75" x14ac:dyDescent="0.25">
      <c r="A9" s="1700"/>
      <c r="B9" s="259" t="e">
        <f>VLOOKUP(S9,'DATOS &amp;'!$C$37:$R$48,3,FALSE)</f>
        <v>#N/A</v>
      </c>
      <c r="C9" s="260" t="e">
        <f>VLOOKUP(S9,'DATOS &amp;'!$C$37:$R$50,4,FALSE)</f>
        <v>#N/A</v>
      </c>
      <c r="D9" s="261" t="s">
        <v>1</v>
      </c>
      <c r="E9" s="260" t="e">
        <f>VLOOKUP(S9,'DATOS &amp;'!$C$37:$R$50,5,FALSE)</f>
        <v>#N/A</v>
      </c>
      <c r="F9" s="262" t="s">
        <v>1</v>
      </c>
      <c r="G9" s="260" t="e">
        <f>VLOOKUP(S9,'DATOS &amp;'!$C$37:$R$50,6,FALSE)</f>
        <v>#N/A</v>
      </c>
      <c r="H9" s="262" t="s">
        <v>1</v>
      </c>
      <c r="I9" s="260" t="e">
        <f>VLOOKUP(S9,'DATOS &amp;'!$C$37:$R$50,7,FALSE)</f>
        <v>#N/A</v>
      </c>
      <c r="J9" s="262" t="s">
        <v>1</v>
      </c>
      <c r="K9" s="565" t="e">
        <f>VLOOKUP(S9,'DATOS &amp;'!$C$37:$R$50,16,FALSE)</f>
        <v>#N/A</v>
      </c>
      <c r="L9" s="262" t="s">
        <v>1</v>
      </c>
      <c r="M9" s="1122" t="e">
        <f t="shared" si="0"/>
        <v>#N/A</v>
      </c>
      <c r="N9" s="262" t="s">
        <v>1</v>
      </c>
      <c r="O9" s="263" t="e">
        <f>VLOOKUP(S9,'DATOS &amp;'!$C$37:$R$50,8,FALSE)</f>
        <v>#N/A</v>
      </c>
      <c r="P9" s="257" t="e">
        <f>VLOOKUP(S9,'DATOS &amp;'!$C$37:$R$50,9,FALSE)</f>
        <v>#N/A</v>
      </c>
      <c r="Q9" s="265"/>
      <c r="R9" s="266"/>
      <c r="S9" s="267"/>
    </row>
    <row r="10" spans="1:19" s="15" customFormat="1" ht="15.75" x14ac:dyDescent="0.25">
      <c r="A10" s="1700"/>
      <c r="B10" s="259" t="e">
        <f>VLOOKUP(S10,'DATOS &amp;'!$C$37:$R$48,3,FALSE)</f>
        <v>#N/A</v>
      </c>
      <c r="C10" s="260" t="e">
        <f>VLOOKUP(S10,'DATOS &amp;'!$C$37:$R$50,4,FALSE)</f>
        <v>#N/A</v>
      </c>
      <c r="D10" s="261" t="s">
        <v>1</v>
      </c>
      <c r="E10" s="260" t="e">
        <f>VLOOKUP(S10,'DATOS &amp;'!$C$37:$R$50,5,FALSE)</f>
        <v>#N/A</v>
      </c>
      <c r="F10" s="262" t="s">
        <v>149</v>
      </c>
      <c r="G10" s="260" t="e">
        <f>VLOOKUP(S10,'DATOS &amp;'!$C$37:$R$50,6,FALSE)</f>
        <v>#N/A</v>
      </c>
      <c r="H10" s="262" t="s">
        <v>1</v>
      </c>
      <c r="I10" s="260" t="e">
        <f>VLOOKUP(S10,'DATOS &amp;'!$C$37:$R$50,7,FALSE)</f>
        <v>#N/A</v>
      </c>
      <c r="J10" s="262" t="s">
        <v>1</v>
      </c>
      <c r="K10" s="565" t="e">
        <f>VLOOKUP(S10,'DATOS &amp;'!$C$37:$R$50,16,FALSE)</f>
        <v>#N/A</v>
      </c>
      <c r="L10" s="262" t="s">
        <v>1</v>
      </c>
      <c r="M10" s="1122" t="e">
        <f t="shared" si="0"/>
        <v>#N/A</v>
      </c>
      <c r="N10" s="262" t="s">
        <v>1</v>
      </c>
      <c r="O10" s="263" t="e">
        <f>VLOOKUP(S10,'DATOS &amp;'!$C$37:$R$50,8,FALSE)</f>
        <v>#N/A</v>
      </c>
      <c r="P10" s="257" t="e">
        <f>VLOOKUP(S10,'DATOS &amp;'!$C$37:$R$50,9,FALSE)</f>
        <v>#N/A</v>
      </c>
      <c r="Q10" s="265"/>
      <c r="R10" s="105"/>
      <c r="S10" s="267"/>
    </row>
    <row r="11" spans="1:19" s="250" customFormat="1" ht="15.75" x14ac:dyDescent="0.25">
      <c r="A11" s="1700"/>
      <c r="B11" s="259" t="e">
        <f>VLOOKUP(S11,'DATOS &amp;'!$C$37:$R$50,3,FALSE)</f>
        <v>#N/A</v>
      </c>
      <c r="C11" s="260" t="e">
        <f>VLOOKUP(S11,'DATOS &amp;'!$C$37:$R$50,4,FALSE)</f>
        <v>#N/A</v>
      </c>
      <c r="D11" s="261" t="s">
        <v>1</v>
      </c>
      <c r="E11" s="260" t="e">
        <f>VLOOKUP(S11,'DATOS &amp;'!$C$37:$R$50,5,FALSE)</f>
        <v>#N/A</v>
      </c>
      <c r="F11" s="262" t="s">
        <v>149</v>
      </c>
      <c r="G11" s="260" t="e">
        <f>VLOOKUP(S11,'DATOS &amp;'!$C$37:$R$50,6,FALSE)</f>
        <v>#N/A</v>
      </c>
      <c r="H11" s="262" t="s">
        <v>1</v>
      </c>
      <c r="I11" s="260" t="e">
        <f>VLOOKUP(S11,'DATOS &amp;'!$C$37:$R$50,7,FALSE)</f>
        <v>#N/A</v>
      </c>
      <c r="J11" s="262" t="s">
        <v>1</v>
      </c>
      <c r="K11" s="565" t="e">
        <f>VLOOKUP(S11,'DATOS &amp;'!$C$37:$R$50,16,FALSE)</f>
        <v>#N/A</v>
      </c>
      <c r="L11" s="262" t="s">
        <v>1</v>
      </c>
      <c r="M11" s="1122" t="e">
        <f t="shared" si="0"/>
        <v>#N/A</v>
      </c>
      <c r="N11" s="262" t="s">
        <v>1</v>
      </c>
      <c r="O11" s="263" t="e">
        <f>VLOOKUP(S11,'DATOS &amp;'!$C$37:$R$50,8,FALSE)</f>
        <v>#N/A</v>
      </c>
      <c r="P11" s="257" t="e">
        <f>VLOOKUP(S11,'DATOS &amp;'!$C$37:$R$50,9,FALSE)</f>
        <v>#N/A</v>
      </c>
      <c r="Q11" s="265"/>
      <c r="R11" s="268"/>
      <c r="S11" s="267"/>
    </row>
    <row r="12" spans="1:19" s="250" customFormat="1" ht="16.5" thickBot="1" x14ac:dyDescent="0.3">
      <c r="A12" s="1701"/>
      <c r="B12" s="259" t="e">
        <f>VLOOKUP(S12,'DATOS &amp;'!$C$37:$R$50,3,FALSE)</f>
        <v>#N/A</v>
      </c>
      <c r="C12" s="260" t="e">
        <f>VLOOKUP(S12,'DATOS &amp;'!$C$37:$R$50,4,FALSE)</f>
        <v>#N/A</v>
      </c>
      <c r="D12" s="261" t="s">
        <v>1</v>
      </c>
      <c r="E12" s="260" t="e">
        <f>VLOOKUP(S12,'DATOS &amp;'!$C$37:$R$50,5,FALSE)</f>
        <v>#N/A</v>
      </c>
      <c r="F12" s="262" t="s">
        <v>149</v>
      </c>
      <c r="G12" s="260" t="e">
        <f>VLOOKUP(S12,'DATOS &amp;'!$C$37:$R$50,6,FALSE)</f>
        <v>#N/A</v>
      </c>
      <c r="H12" s="262" t="s">
        <v>1</v>
      </c>
      <c r="I12" s="260" t="e">
        <f>VLOOKUP(S12,'DATOS &amp;'!$C$37:$R$50,7,FALSE)</f>
        <v>#N/A</v>
      </c>
      <c r="J12" s="262" t="s">
        <v>1</v>
      </c>
      <c r="K12" s="565" t="e">
        <f>VLOOKUP(S12,'DATOS &amp;'!$C$37:$R$50,16,FALSE)</f>
        <v>#N/A</v>
      </c>
      <c r="L12" s="262" t="s">
        <v>1</v>
      </c>
      <c r="M12" s="1122" t="e">
        <f t="shared" si="0"/>
        <v>#N/A</v>
      </c>
      <c r="N12" s="262" t="s">
        <v>1</v>
      </c>
      <c r="O12" s="263" t="e">
        <f>VLOOKUP(S12,'DATOS &amp;'!$C$37:$R$50,8,FALSE)</f>
        <v>#N/A</v>
      </c>
      <c r="P12" s="257" t="e">
        <f>VLOOKUP(S12,'DATOS &amp;'!$C$37:$R$50,9,FALSE)</f>
        <v>#N/A</v>
      </c>
      <c r="Q12" s="265"/>
      <c r="R12" s="268"/>
      <c r="S12" s="267"/>
    </row>
    <row r="13" spans="1:19" s="250" customFormat="1" ht="30" customHeight="1" x14ac:dyDescent="0.25">
      <c r="A13" s="1637" t="s">
        <v>734</v>
      </c>
      <c r="B13" s="1121" t="e">
        <f>VLOOKUP(S13,'DATOS &amp;'!$C$170:$R$180,3,FALSE)</f>
        <v>#N/A</v>
      </c>
      <c r="C13" s="1113" t="e">
        <f>VLOOKUP(S13,'DATOS &amp;'!$C$170:$R$180,4,FALSE)</f>
        <v>#N/A</v>
      </c>
      <c r="D13" s="1103" t="s">
        <v>527</v>
      </c>
      <c r="E13" s="1108" t="e">
        <f>VLOOKUP(S13,'DATOS &amp;'!$C$170:$R$180,5,FALSE)</f>
        <v>#N/A</v>
      </c>
      <c r="F13" s="1104" t="s">
        <v>527</v>
      </c>
      <c r="G13" s="1108" t="e">
        <f>VLOOKUP(S13,'DATOS &amp;'!$C$170:$R$180,6,FALSE)</f>
        <v>#N/A</v>
      </c>
      <c r="H13" s="1104" t="s">
        <v>527</v>
      </c>
      <c r="I13" s="1108" t="e">
        <f>VLOOKUP(S13,'DATOS &amp;'!$C$170:$R$180,7,FALSE)</f>
        <v>#N/A</v>
      </c>
      <c r="J13" s="1104" t="s">
        <v>527</v>
      </c>
      <c r="K13" s="1107" t="e">
        <f>VLOOKUP(S13,'DATOS &amp;'!$C$170:$R$180,16,FALSE)</f>
        <v>#N/A</v>
      </c>
      <c r="L13" s="1104" t="s">
        <v>527</v>
      </c>
      <c r="M13" s="1111" t="e">
        <f t="shared" si="0"/>
        <v>#N/A</v>
      </c>
      <c r="N13" s="1104" t="s">
        <v>527</v>
      </c>
      <c r="O13" s="1113" t="e">
        <f>VLOOKUP(S13,'DATOS &amp;'!$C$170:$R$180,8,FALSE)</f>
        <v>#N/A</v>
      </c>
      <c r="P13" s="1114" t="e">
        <f>VLOOKUP(S13,'DATOS &amp;'!$C$170:$R$180,9,FALSE)</f>
        <v>#N/A</v>
      </c>
      <c r="Q13" s="265"/>
      <c r="R13" s="1076"/>
      <c r="S13" s="1094"/>
    </row>
    <row r="14" spans="1:19" s="250" customFormat="1" ht="30" customHeight="1" x14ac:dyDescent="0.25">
      <c r="A14" s="1638"/>
      <c r="B14" s="1121" t="e">
        <f>VLOOKUP(S14,'DATOS &amp;'!$C$170:$R$180,3,FALSE)</f>
        <v>#N/A</v>
      </c>
      <c r="C14" s="1113" t="e">
        <f>VLOOKUP(S14,'DATOS &amp;'!$C$170:$R$180,4,FALSE)</f>
        <v>#N/A</v>
      </c>
      <c r="D14" s="1103" t="s">
        <v>527</v>
      </c>
      <c r="E14" s="1108" t="e">
        <f>VLOOKUP(S14,'DATOS &amp;'!$C$170:$R$180,5,FALSE)</f>
        <v>#N/A</v>
      </c>
      <c r="F14" s="1104" t="s">
        <v>527</v>
      </c>
      <c r="G14" s="1108" t="e">
        <f>VLOOKUP(S14,'DATOS &amp;'!$C$170:$R$180,6,FALSE)</f>
        <v>#N/A</v>
      </c>
      <c r="H14" s="1104" t="s">
        <v>527</v>
      </c>
      <c r="I14" s="1108" t="e">
        <f>VLOOKUP(S14,'DATOS &amp;'!$C$170:$R$180,7,FALSE)</f>
        <v>#N/A</v>
      </c>
      <c r="J14" s="1104" t="s">
        <v>527</v>
      </c>
      <c r="K14" s="1107" t="e">
        <f>VLOOKUP(S14,'DATOS &amp;'!$C$170:$R$180,16,FALSE)</f>
        <v>#N/A</v>
      </c>
      <c r="L14" s="1104" t="s">
        <v>527</v>
      </c>
      <c r="M14" s="1111" t="e">
        <f t="shared" si="0"/>
        <v>#N/A</v>
      </c>
      <c r="N14" s="1104" t="s">
        <v>527</v>
      </c>
      <c r="O14" s="1113" t="e">
        <f>VLOOKUP(S14,'DATOS &amp;'!$C$170:$R$180,8,FALSE)</f>
        <v>#N/A</v>
      </c>
      <c r="P14" s="1114" t="e">
        <f>VLOOKUP(S14,'DATOS &amp;'!$C$170:$R$180,9,FALSE)</f>
        <v>#N/A</v>
      </c>
      <c r="Q14" s="265"/>
      <c r="R14" s="1076"/>
      <c r="S14" s="1095"/>
    </row>
    <row r="15" spans="1:19" s="250" customFormat="1" ht="30" customHeight="1" x14ac:dyDescent="0.25">
      <c r="A15" s="1638"/>
      <c r="B15" s="1121" t="e">
        <f>VLOOKUP(S15,'DATOS &amp;'!$C$170:$R$180,3,FALSE)</f>
        <v>#N/A</v>
      </c>
      <c r="C15" s="1113" t="e">
        <f>VLOOKUP(S15,'DATOS &amp;'!$C$170:$R$180,4,FALSE)</f>
        <v>#N/A</v>
      </c>
      <c r="D15" s="1103" t="s">
        <v>527</v>
      </c>
      <c r="E15" s="1108" t="e">
        <f>VLOOKUP(S15,'DATOS &amp;'!$C$170:$R$180,5,FALSE)</f>
        <v>#N/A</v>
      </c>
      <c r="F15" s="1104" t="s">
        <v>527</v>
      </c>
      <c r="G15" s="1108" t="e">
        <f>VLOOKUP(S15,'DATOS &amp;'!$C$170:$R$180,6,FALSE)</f>
        <v>#N/A</v>
      </c>
      <c r="H15" s="1104" t="s">
        <v>527</v>
      </c>
      <c r="I15" s="1108" t="e">
        <f>VLOOKUP(S15,'DATOS &amp;'!$C$170:$R$180,7,FALSE)</f>
        <v>#N/A</v>
      </c>
      <c r="J15" s="1104" t="s">
        <v>527</v>
      </c>
      <c r="K15" s="1107" t="e">
        <f>VLOOKUP(S15,'DATOS &amp;'!$C$170:$R$180,16,FALSE)</f>
        <v>#N/A</v>
      </c>
      <c r="L15" s="1104" t="s">
        <v>527</v>
      </c>
      <c r="M15" s="1112" t="e">
        <f t="shared" si="0"/>
        <v>#N/A</v>
      </c>
      <c r="N15" s="1104" t="s">
        <v>527</v>
      </c>
      <c r="O15" s="1113" t="e">
        <f>VLOOKUP(S15,'DATOS &amp;'!$C$170:$R$180,8,FALSE)</f>
        <v>#N/A</v>
      </c>
      <c r="P15" s="1114" t="e">
        <f>VLOOKUP(S15,'DATOS &amp;'!$C$170:$R$180,9,FALSE)</f>
        <v>#N/A</v>
      </c>
      <c r="Q15" s="265"/>
      <c r="R15" s="1076"/>
      <c r="S15" s="1095"/>
    </row>
    <row r="16" spans="1:19" s="250" customFormat="1" ht="30" customHeight="1" x14ac:dyDescent="0.25">
      <c r="A16" s="1638"/>
      <c r="B16" s="1121" t="e">
        <f>VLOOKUP(S16,'DATOS &amp;'!$C$170:$R$180,3,FALSE)</f>
        <v>#N/A</v>
      </c>
      <c r="C16" s="1113" t="e">
        <f>VLOOKUP(S16,'DATOS &amp;'!$C$170:$R$180,4,FALSE)</f>
        <v>#N/A</v>
      </c>
      <c r="D16" s="1103" t="s">
        <v>527</v>
      </c>
      <c r="E16" s="1108" t="e">
        <f>VLOOKUP(S16,'DATOS &amp;'!$C$170:$R$180,5,FALSE)</f>
        <v>#N/A</v>
      </c>
      <c r="F16" s="1104" t="s">
        <v>527</v>
      </c>
      <c r="G16" s="1108" t="e">
        <f>VLOOKUP(S16,'DATOS &amp;'!$C$170:$R$180,6,FALSE)</f>
        <v>#N/A</v>
      </c>
      <c r="H16" s="1104" t="s">
        <v>527</v>
      </c>
      <c r="I16" s="1108" t="e">
        <f>VLOOKUP(S16,'DATOS &amp;'!$C$170:$R$180,7,FALSE)</f>
        <v>#N/A</v>
      </c>
      <c r="J16" s="1104" t="s">
        <v>527</v>
      </c>
      <c r="K16" s="1107" t="e">
        <f>VLOOKUP(S16,'DATOS &amp;'!$C$170:$R$180,16,FALSE)</f>
        <v>#N/A</v>
      </c>
      <c r="L16" s="1104" t="s">
        <v>527</v>
      </c>
      <c r="M16" s="1112" t="e">
        <f t="shared" si="0"/>
        <v>#N/A</v>
      </c>
      <c r="N16" s="1104" t="s">
        <v>527</v>
      </c>
      <c r="O16" s="1113" t="e">
        <f>VLOOKUP(S16,'DATOS &amp;'!$C$170:$R$180,8,FALSE)</f>
        <v>#N/A</v>
      </c>
      <c r="P16" s="1114" t="e">
        <f>VLOOKUP(S16,'DATOS &amp;'!$C$170:$R$180,9,FALSE)</f>
        <v>#N/A</v>
      </c>
      <c r="Q16" s="265"/>
      <c r="R16" s="300"/>
      <c r="S16" s="1095"/>
    </row>
    <row r="17" spans="1:19" s="250" customFormat="1" ht="30" customHeight="1" x14ac:dyDescent="0.25">
      <c r="A17" s="1638"/>
      <c r="B17" s="1121" t="e">
        <f>VLOOKUP(S17,'DATOS &amp;'!$C$170:$R$180,3,FALSE)</f>
        <v>#N/A</v>
      </c>
      <c r="C17" s="1113" t="e">
        <f>VLOOKUP(S17,'DATOS &amp;'!$C$170:$R$180,4,FALSE)</f>
        <v>#N/A</v>
      </c>
      <c r="D17" s="1103" t="s">
        <v>527</v>
      </c>
      <c r="E17" s="1108" t="e">
        <f>VLOOKUP(S17,'DATOS &amp;'!$C$170:$R$180,5,FALSE)</f>
        <v>#N/A</v>
      </c>
      <c r="F17" s="1104" t="s">
        <v>527</v>
      </c>
      <c r="G17" s="1108" t="e">
        <f>VLOOKUP(S17,'DATOS &amp;'!$C$170:$R$180,6,FALSE)</f>
        <v>#N/A</v>
      </c>
      <c r="H17" s="1104" t="s">
        <v>527</v>
      </c>
      <c r="I17" s="1108" t="e">
        <f>VLOOKUP(S17,'DATOS &amp;'!$C$170:$R$180,7,FALSE)</f>
        <v>#N/A</v>
      </c>
      <c r="J17" s="1104" t="s">
        <v>527</v>
      </c>
      <c r="K17" s="1107" t="e">
        <f>VLOOKUP(S17,'DATOS &amp;'!$C$170:$R$180,16,FALSE)</f>
        <v>#N/A</v>
      </c>
      <c r="L17" s="1104" t="s">
        <v>527</v>
      </c>
      <c r="M17" s="1112" t="e">
        <f t="shared" si="0"/>
        <v>#N/A</v>
      </c>
      <c r="N17" s="1104" t="s">
        <v>527</v>
      </c>
      <c r="O17" s="1113" t="e">
        <f>VLOOKUP(S17,'DATOS &amp;'!$C$170:$R$180,8,FALSE)</f>
        <v>#N/A</v>
      </c>
      <c r="P17" s="1114" t="e">
        <f>VLOOKUP(S17,'DATOS &amp;'!$C$170:$R$180,9,FALSE)</f>
        <v>#N/A</v>
      </c>
      <c r="Q17" s="265"/>
      <c r="R17" s="300"/>
      <c r="S17" s="1095"/>
    </row>
    <row r="18" spans="1:19" s="250" customFormat="1" ht="30" customHeight="1" x14ac:dyDescent="0.25">
      <c r="A18" s="1638"/>
      <c r="B18" s="1121" t="e">
        <f>VLOOKUP(S18,'DATOS &amp;'!$C$170:$R$180,3,FALSE)</f>
        <v>#N/A</v>
      </c>
      <c r="C18" s="1113" t="e">
        <f>VLOOKUP(S18,'DATOS &amp;'!$C$170:$R$180,4,FALSE)</f>
        <v>#N/A</v>
      </c>
      <c r="D18" s="1103" t="s">
        <v>527</v>
      </c>
      <c r="E18" s="1108" t="e">
        <f>VLOOKUP(S18,'DATOS &amp;'!$C$170:$R$180,5,FALSE)</f>
        <v>#N/A</v>
      </c>
      <c r="F18" s="1104" t="s">
        <v>527</v>
      </c>
      <c r="G18" s="1108" t="e">
        <f>VLOOKUP(S18,'DATOS &amp;'!$C$170:$R$180,6,FALSE)</f>
        <v>#N/A</v>
      </c>
      <c r="H18" s="1104" t="s">
        <v>527</v>
      </c>
      <c r="I18" s="1108" t="e">
        <f>VLOOKUP(S18,'DATOS &amp;'!$C$170:$R$180,7,FALSE)</f>
        <v>#N/A</v>
      </c>
      <c r="J18" s="1106" t="s">
        <v>527</v>
      </c>
      <c r="K18" s="1107" t="e">
        <f>VLOOKUP(S18,'DATOS &amp;'!$C$170:$R$180,16,FALSE)</f>
        <v>#N/A</v>
      </c>
      <c r="L18" s="1104" t="s">
        <v>527</v>
      </c>
      <c r="M18" s="1112" t="e">
        <f>SQRT((I18/2)^2+(K18/SQRT(12))^2)</f>
        <v>#N/A</v>
      </c>
      <c r="N18" s="1104" t="s">
        <v>527</v>
      </c>
      <c r="O18" s="1113" t="e">
        <f>VLOOKUP(S18,'DATOS &amp;'!$C$170:$R$180,8,FALSE)</f>
        <v>#N/A</v>
      </c>
      <c r="P18" s="1114" t="e">
        <f>VLOOKUP(S18,'DATOS &amp;'!$C$170:$R$180,9,FALSE)</f>
        <v>#N/A</v>
      </c>
      <c r="Q18" s="992"/>
      <c r="R18" s="300"/>
      <c r="S18" s="1095"/>
    </row>
    <row r="19" spans="1:19" s="250" customFormat="1" ht="30" customHeight="1" x14ac:dyDescent="0.25">
      <c r="A19" s="1638"/>
      <c r="B19" s="1121" t="e">
        <f>VLOOKUP(S19,'DATOS &amp;'!$C$170:$R$180,3,FALSE)</f>
        <v>#N/A</v>
      </c>
      <c r="C19" s="1113" t="e">
        <f>VLOOKUP(S19,'DATOS &amp;'!$C$170:$R$180,4,FALSE)</f>
        <v>#N/A</v>
      </c>
      <c r="D19" s="1103" t="s">
        <v>527</v>
      </c>
      <c r="E19" s="1108" t="e">
        <f>VLOOKUP(S19,'DATOS &amp;'!$C$170:$R$180,5,FALSE)</f>
        <v>#N/A</v>
      </c>
      <c r="F19" s="1104" t="s">
        <v>527</v>
      </c>
      <c r="G19" s="1108" t="e">
        <f>VLOOKUP(S19,'DATOS &amp;'!$C$170:$R$180,6,FALSE)</f>
        <v>#N/A</v>
      </c>
      <c r="H19" s="1104" t="s">
        <v>527</v>
      </c>
      <c r="I19" s="1108" t="e">
        <f>VLOOKUP(S19,'DATOS &amp;'!$C$170:$R$180,7,FALSE)</f>
        <v>#N/A</v>
      </c>
      <c r="J19" s="1106" t="s">
        <v>527</v>
      </c>
      <c r="K19" s="1107" t="e">
        <f>VLOOKUP(S19,'DATOS &amp;'!$C$170:$R$180,16,FALSE)</f>
        <v>#N/A</v>
      </c>
      <c r="L19" s="1104" t="s">
        <v>527</v>
      </c>
      <c r="M19" s="1112" t="e">
        <f>SQRT((I19/2)^2+(K19/SQRT(12))^2)</f>
        <v>#N/A</v>
      </c>
      <c r="N19" s="1104" t="s">
        <v>527</v>
      </c>
      <c r="O19" s="1113" t="e">
        <f>VLOOKUP(S19,'DATOS &amp;'!$C$170:$R$180,8,FALSE)</f>
        <v>#N/A</v>
      </c>
      <c r="P19" s="1114" t="e">
        <f>VLOOKUP(S19,'DATOS &amp;'!$C$170:$R$180,9,FALSE)</f>
        <v>#N/A</v>
      </c>
      <c r="Q19" s="992"/>
      <c r="R19" s="300"/>
      <c r="S19" s="1095"/>
    </row>
    <row r="20" spans="1:19" s="250" customFormat="1" ht="30" customHeight="1" x14ac:dyDescent="0.25">
      <c r="A20" s="1638"/>
      <c r="B20" s="1121" t="e">
        <f>VLOOKUP(S20,'DATOS &amp;'!$C$170:$R$180,3,FALSE)</f>
        <v>#N/A</v>
      </c>
      <c r="C20" s="1113" t="e">
        <f>VLOOKUP(S20,'DATOS &amp;'!$C$170:$R$180,4,FALSE)</f>
        <v>#N/A</v>
      </c>
      <c r="D20" s="1103" t="s">
        <v>527</v>
      </c>
      <c r="E20" s="1108" t="e">
        <f>VLOOKUP(S20,'DATOS &amp;'!$C$170:$R$180,5,FALSE)</f>
        <v>#N/A</v>
      </c>
      <c r="F20" s="1104" t="s">
        <v>527</v>
      </c>
      <c r="G20" s="1108" t="e">
        <f>VLOOKUP(S20,'DATOS &amp;'!$C$170:$R$180,6,FALSE)</f>
        <v>#N/A</v>
      </c>
      <c r="H20" s="1104" t="s">
        <v>527</v>
      </c>
      <c r="I20" s="1108" t="e">
        <f>VLOOKUP(S20,'DATOS &amp;'!$C$170:$R$180,7,FALSE)</f>
        <v>#N/A</v>
      </c>
      <c r="J20" s="1106" t="s">
        <v>527</v>
      </c>
      <c r="K20" s="1107" t="e">
        <f>VLOOKUP(S20,'DATOS &amp;'!$C$170:$R$180,16,FALSE)</f>
        <v>#N/A</v>
      </c>
      <c r="L20" s="1104" t="s">
        <v>527</v>
      </c>
      <c r="M20" s="1112" t="e">
        <f>SQRT((I20/2)^2+(K20/SQRT(12))^2)</f>
        <v>#N/A</v>
      </c>
      <c r="N20" s="1104" t="s">
        <v>527</v>
      </c>
      <c r="O20" s="1113" t="e">
        <f>VLOOKUP(S20,'DATOS &amp;'!$C$170:$R$180,8,FALSE)</f>
        <v>#N/A</v>
      </c>
      <c r="P20" s="1114" t="e">
        <f>VLOOKUP(S20,'DATOS &amp;'!$C$170:$R$180,9,FALSE)</f>
        <v>#N/A</v>
      </c>
      <c r="Q20" s="1075"/>
      <c r="R20" s="300"/>
      <c r="S20" s="1095"/>
    </row>
    <row r="21" spans="1:19" s="250" customFormat="1" ht="30" customHeight="1" x14ac:dyDescent="0.25">
      <c r="A21" s="1638"/>
      <c r="B21" s="1121" t="e">
        <f>VLOOKUP(S21,'DATOS &amp;'!$C$170:$R$180,3,FALSE)</f>
        <v>#N/A</v>
      </c>
      <c r="C21" s="1113" t="e">
        <f>VLOOKUP(S21,'DATOS &amp;'!$C$170:$R$180,4,FALSE)</f>
        <v>#N/A</v>
      </c>
      <c r="D21" s="1103" t="s">
        <v>527</v>
      </c>
      <c r="E21" s="1108" t="e">
        <f>VLOOKUP(S21,'DATOS &amp;'!$C$170:$R$180,5,FALSE)</f>
        <v>#N/A</v>
      </c>
      <c r="F21" s="1104" t="s">
        <v>527</v>
      </c>
      <c r="G21" s="1108" t="e">
        <f>VLOOKUP(S21,'DATOS &amp;'!$C$170:$R$180,6,FALSE)</f>
        <v>#N/A</v>
      </c>
      <c r="H21" s="1104" t="s">
        <v>527</v>
      </c>
      <c r="I21" s="1108" t="e">
        <f>VLOOKUP(S21,'DATOS &amp;'!$C$170:$R$180,7,FALSE)</f>
        <v>#N/A</v>
      </c>
      <c r="J21" s="1106" t="s">
        <v>527</v>
      </c>
      <c r="K21" s="1107" t="e">
        <f>VLOOKUP(S21,'DATOS &amp;'!$C$170:$R$180,16,FALSE)</f>
        <v>#N/A</v>
      </c>
      <c r="L21" s="1104" t="s">
        <v>527</v>
      </c>
      <c r="M21" s="1112" t="e">
        <f>SQRT((I21/2)^2+(K21/SQRT(12))^2)</f>
        <v>#N/A</v>
      </c>
      <c r="N21" s="1104" t="s">
        <v>527</v>
      </c>
      <c r="O21" s="1113" t="e">
        <f>VLOOKUP(S21,'DATOS &amp;'!$C$170:$R$180,8,FALSE)</f>
        <v>#N/A</v>
      </c>
      <c r="P21" s="1114" t="e">
        <f>VLOOKUP(S21,'DATOS &amp;'!$C$170:$R$180,9,FALSE)</f>
        <v>#N/A</v>
      </c>
      <c r="Q21" s="1075"/>
      <c r="R21" s="300"/>
      <c r="S21" s="1095"/>
    </row>
    <row r="22" spans="1:19" s="250" customFormat="1" ht="30" customHeight="1" thickBot="1" x14ac:dyDescent="0.3">
      <c r="A22" s="1639"/>
      <c r="B22" s="1121" t="e">
        <f>VLOOKUP(S22,'DATOS &amp;'!$C$170:$R$180,3,FALSE)</f>
        <v>#N/A</v>
      </c>
      <c r="C22" s="1113" t="e">
        <f>VLOOKUP(S22,'DATOS &amp;'!$C$170:$R$180,4,FALSE)</f>
        <v>#N/A</v>
      </c>
      <c r="D22" s="1103" t="s">
        <v>527</v>
      </c>
      <c r="E22" s="1108" t="e">
        <f>VLOOKUP(S22,'DATOS &amp;'!$C$170:$R$180,5,FALSE)</f>
        <v>#N/A</v>
      </c>
      <c r="F22" s="1104" t="s">
        <v>527</v>
      </c>
      <c r="G22" s="1108" t="e">
        <f>VLOOKUP(S22,'DATOS &amp;'!$C$170:$R$180,6,FALSE)</f>
        <v>#N/A</v>
      </c>
      <c r="H22" s="1104" t="s">
        <v>527</v>
      </c>
      <c r="I22" s="1108" t="e">
        <f>VLOOKUP(S22,'DATOS &amp;'!$C$170:$R$180,7,FALSE)</f>
        <v>#N/A</v>
      </c>
      <c r="J22" s="1106" t="s">
        <v>527</v>
      </c>
      <c r="K22" s="1107" t="e">
        <f>VLOOKUP(S22,'DATOS &amp;'!$C$170:$R$180,16,FALSE)</f>
        <v>#N/A</v>
      </c>
      <c r="L22" s="1104" t="s">
        <v>527</v>
      </c>
      <c r="M22" s="1112" t="e">
        <f>SQRT((I22/2)^2+(K22/SQRT(12))^2)</f>
        <v>#N/A</v>
      </c>
      <c r="N22" s="1104" t="s">
        <v>527</v>
      </c>
      <c r="O22" s="1113" t="e">
        <f>VLOOKUP(S22,'DATOS &amp;'!$C$170:$R$180,8,FALSE)</f>
        <v>#N/A</v>
      </c>
      <c r="P22" s="1114" t="e">
        <f>VLOOKUP(S22,'DATOS &amp;'!$C$170:$R$180,9,FALSE)</f>
        <v>#N/A</v>
      </c>
      <c r="Q22" s="1075"/>
      <c r="R22" s="300"/>
      <c r="S22" s="1095"/>
    </row>
    <row r="23" spans="1:19" s="250" customFormat="1" ht="30" customHeight="1" x14ac:dyDescent="0.25">
      <c r="A23" s="1637" t="s">
        <v>679</v>
      </c>
      <c r="B23" s="1121" t="e">
        <f>VLOOKUP(S23,'DATOS &amp;'!$C$55:$L$109,3,FALSE)</f>
        <v>#N/A</v>
      </c>
      <c r="C23" s="1113" t="e">
        <f>VLOOKUP(S23,'DATOS &amp;'!$C$55:$L$109,4,FALSE)</f>
        <v>#N/A</v>
      </c>
      <c r="D23" s="1103" t="s">
        <v>1</v>
      </c>
      <c r="E23" s="1108" t="e">
        <f>VLOOKUP(S23,'DATOS &amp;'!$C$55:$L$109,5,FALSE)</f>
        <v>#N/A</v>
      </c>
      <c r="F23" s="1103" t="s">
        <v>1</v>
      </c>
      <c r="G23" s="1108" t="e">
        <f>VLOOKUP(S23,'DATOS &amp;'!$C$55:$L$109,6,FALSE)</f>
        <v>#N/A</v>
      </c>
      <c r="H23" s="1103" t="s">
        <v>1</v>
      </c>
      <c r="I23" s="1108" t="e">
        <f>VLOOKUP(S23,'DATOS &amp;'!$C$55:$L$109,7,FALSE)</f>
        <v>#N/A</v>
      </c>
      <c r="J23" s="1103" t="s">
        <v>1</v>
      </c>
      <c r="K23" s="1107"/>
      <c r="L23" s="1104"/>
      <c r="M23" s="1111"/>
      <c r="N23" s="1104"/>
      <c r="O23" s="1113" t="e">
        <f>VLOOKUP(S23,'DATOS &amp;'!$C$55:$L$109,8,FALSE)</f>
        <v>#N/A</v>
      </c>
      <c r="P23" s="1114" t="e">
        <f>VLOOKUP(S23,'DATOS &amp;'!$C$55:$L$109,9,FALSE)</f>
        <v>#N/A</v>
      </c>
      <c r="Q23" s="992"/>
      <c r="R23" s="300"/>
      <c r="S23" s="1094"/>
    </row>
    <row r="24" spans="1:19" s="250" customFormat="1" ht="30" customHeight="1" x14ac:dyDescent="0.25">
      <c r="A24" s="1638"/>
      <c r="B24" s="1121" t="e">
        <f>VLOOKUP(S23,'DATOS &amp;'!$C$55:$L$109,3,FALSE)</f>
        <v>#N/A</v>
      </c>
      <c r="C24" s="1113" t="e">
        <f>VLOOKUP(S24,'DATOS &amp;'!$C$55:$L$109,4,FALSE)</f>
        <v>#N/A</v>
      </c>
      <c r="D24" s="1103" t="s">
        <v>1</v>
      </c>
      <c r="E24" s="1108" t="e">
        <f>VLOOKUP(S24,'DATOS &amp;'!$C$55:$L$109,5,FALSE)</f>
        <v>#N/A</v>
      </c>
      <c r="F24" s="1103" t="s">
        <v>1</v>
      </c>
      <c r="G24" s="1108" t="e">
        <f>VLOOKUP(S24,'DATOS &amp;'!$C$55:$L$109,6,FALSE)</f>
        <v>#N/A</v>
      </c>
      <c r="H24" s="1103" t="s">
        <v>1</v>
      </c>
      <c r="I24" s="1108" t="e">
        <f>VLOOKUP(S24,'DATOS &amp;'!$C$55:$L$109,7,FALSE)</f>
        <v>#N/A</v>
      </c>
      <c r="J24" s="1103" t="s">
        <v>1</v>
      </c>
      <c r="K24" s="1107"/>
      <c r="L24" s="1104"/>
      <c r="M24" s="1111"/>
      <c r="N24" s="1104"/>
      <c r="O24" s="1113" t="e">
        <f>VLOOKUP(S24,'DATOS &amp;'!$C$55:$L$109,8,FALSE)</f>
        <v>#N/A</v>
      </c>
      <c r="P24" s="1114" t="e">
        <f>VLOOKUP(S24,'DATOS &amp;'!$C$55:$L$109,9,FALSE)</f>
        <v>#N/A</v>
      </c>
      <c r="Q24" s="992"/>
      <c r="R24" s="300"/>
      <c r="S24" s="1095"/>
    </row>
    <row r="25" spans="1:19" s="250" customFormat="1" ht="30" customHeight="1" x14ac:dyDescent="0.25">
      <c r="A25" s="1638"/>
      <c r="B25" s="1121" t="e">
        <f>VLOOKUP(S23,'DATOS &amp;'!$C$55:$L$109,3,FALSE)</f>
        <v>#N/A</v>
      </c>
      <c r="C25" s="1113" t="e">
        <f>VLOOKUP(S25,'DATOS &amp;'!$C$55:$L$109,4,FALSE)</f>
        <v>#N/A</v>
      </c>
      <c r="D25" s="1103" t="s">
        <v>1</v>
      </c>
      <c r="E25" s="1108" t="e">
        <f>VLOOKUP(S25,'DATOS &amp;'!$C$55:$L$109,5,FALSE)</f>
        <v>#N/A</v>
      </c>
      <c r="F25" s="1103" t="s">
        <v>1</v>
      </c>
      <c r="G25" s="1108" t="e">
        <f>VLOOKUP(S25,'DATOS &amp;'!$C$55:$L$109,6,FALSE)</f>
        <v>#N/A</v>
      </c>
      <c r="H25" s="1103" t="s">
        <v>1</v>
      </c>
      <c r="I25" s="1108" t="e">
        <f>VLOOKUP(S25,'DATOS &amp;'!$C$55:$L$109,7,FALSE)</f>
        <v>#N/A</v>
      </c>
      <c r="J25" s="1103" t="s">
        <v>1</v>
      </c>
      <c r="K25" s="1107"/>
      <c r="L25" s="1104"/>
      <c r="M25" s="1111"/>
      <c r="N25" s="1104"/>
      <c r="O25" s="1113" t="e">
        <f>VLOOKUP(S25,'DATOS &amp;'!$C$55:$L$109,8,FALSE)</f>
        <v>#N/A</v>
      </c>
      <c r="P25" s="1114" t="e">
        <f>VLOOKUP(S25,'DATOS &amp;'!$C$55:$L$109,9,FALSE)</f>
        <v>#N/A</v>
      </c>
      <c r="Q25" s="992"/>
      <c r="R25" s="300"/>
      <c r="S25" s="1095"/>
    </row>
    <row r="26" spans="1:19" s="250" customFormat="1" ht="30" customHeight="1" x14ac:dyDescent="0.25">
      <c r="A26" s="1638"/>
      <c r="B26" s="1121" t="e">
        <f>VLOOKUP(S23,'DATOS &amp;'!$C$55:$L$109,3,FALSE)</f>
        <v>#N/A</v>
      </c>
      <c r="C26" s="1108" t="e">
        <f>VLOOKUP(S26,'DATOS &amp;'!$C$55:$L$109,4,FALSE)</f>
        <v>#N/A</v>
      </c>
      <c r="D26" s="1103" t="s">
        <v>379</v>
      </c>
      <c r="E26" s="1108" t="e">
        <f>VLOOKUP(S26,'DATOS &amp;'!$C$55:$L$109,5,FALSE)</f>
        <v>#N/A</v>
      </c>
      <c r="F26" s="1103" t="s">
        <v>379</v>
      </c>
      <c r="G26" s="1108" t="e">
        <f>VLOOKUP(S26,'DATOS &amp;'!$C$55:$L$109,6,FALSE)</f>
        <v>#N/A</v>
      </c>
      <c r="H26" s="1103" t="s">
        <v>379</v>
      </c>
      <c r="I26" s="1108" t="e">
        <f>VLOOKUP(S26,'DATOS &amp;'!$C$55:$L$109,7,FALSE)</f>
        <v>#N/A</v>
      </c>
      <c r="J26" s="1103" t="s">
        <v>379</v>
      </c>
      <c r="K26" s="1107"/>
      <c r="L26" s="1104"/>
      <c r="M26" s="1111"/>
      <c r="N26" s="1104"/>
      <c r="O26" s="1113" t="e">
        <f>VLOOKUP(S26,'DATOS &amp;'!$C$55:$L$109,8,FALSE)</f>
        <v>#N/A</v>
      </c>
      <c r="P26" s="1114" t="e">
        <f>VLOOKUP(S26,'DATOS &amp;'!$C$55:$L$109,9,FALSE)</f>
        <v>#N/A</v>
      </c>
      <c r="Q26" s="992"/>
      <c r="R26" s="300"/>
      <c r="S26" s="1095"/>
    </row>
    <row r="27" spans="1:19" s="250" customFormat="1" ht="30" customHeight="1" x14ac:dyDescent="0.25">
      <c r="A27" s="1638"/>
      <c r="B27" s="1121" t="e">
        <f>VLOOKUP(S23,'DATOS &amp;'!$C$55:$L$109,3,FALSE)</f>
        <v>#N/A</v>
      </c>
      <c r="C27" s="1108" t="e">
        <f>VLOOKUP(S27,'DATOS &amp;'!$C$55:$L$109,4,FALSE)</f>
        <v>#N/A</v>
      </c>
      <c r="D27" s="1103" t="s">
        <v>379</v>
      </c>
      <c r="E27" s="1108" t="e">
        <f>VLOOKUP(S27,'DATOS &amp;'!$C$55:$L$109,5,FALSE)</f>
        <v>#N/A</v>
      </c>
      <c r="F27" s="1103" t="s">
        <v>379</v>
      </c>
      <c r="G27" s="1108" t="e">
        <f>VLOOKUP(S27,'DATOS &amp;'!$C$55:$L$109,6,FALSE)</f>
        <v>#N/A</v>
      </c>
      <c r="H27" s="1103" t="s">
        <v>379</v>
      </c>
      <c r="I27" s="1108" t="e">
        <f>VLOOKUP(S27,'DATOS &amp;'!$C$55:$L$109,7,FALSE)</f>
        <v>#N/A</v>
      </c>
      <c r="J27" s="1103" t="s">
        <v>379</v>
      </c>
      <c r="K27" s="1107"/>
      <c r="L27" s="1104"/>
      <c r="M27" s="1111"/>
      <c r="N27" s="1104"/>
      <c r="O27" s="1113" t="e">
        <f>VLOOKUP(S27,'DATOS &amp;'!$C$55:$L$109,8,FALSE)</f>
        <v>#N/A</v>
      </c>
      <c r="P27" s="1114" t="e">
        <f>VLOOKUP(S27,'DATOS &amp;'!$C$55:$L$109,9,FALSE)</f>
        <v>#N/A</v>
      </c>
      <c r="Q27" s="992"/>
      <c r="R27" s="300"/>
      <c r="S27" s="1095"/>
    </row>
    <row r="28" spans="1:19" s="250" customFormat="1" ht="30" customHeight="1" x14ac:dyDescent="0.25">
      <c r="A28" s="1638"/>
      <c r="B28" s="1121" t="e">
        <f>VLOOKUP(S23,'DATOS &amp;'!$C$55:$L$109,3,FALSE)</f>
        <v>#N/A</v>
      </c>
      <c r="C28" s="1108" t="e">
        <f>VLOOKUP(S28,'DATOS &amp;'!$C$55:$L$109,4,FALSE)</f>
        <v>#N/A</v>
      </c>
      <c r="D28" s="1103" t="s">
        <v>379</v>
      </c>
      <c r="E28" s="1108" t="e">
        <f>VLOOKUP(S28,'DATOS &amp;'!$C$55:$L$109,5,FALSE)</f>
        <v>#N/A</v>
      </c>
      <c r="F28" s="1103" t="s">
        <v>379</v>
      </c>
      <c r="G28" s="1108" t="e">
        <f>VLOOKUP(S28,'DATOS &amp;'!$C$55:$L$109,6,FALSE)</f>
        <v>#N/A</v>
      </c>
      <c r="H28" s="1103" t="s">
        <v>379</v>
      </c>
      <c r="I28" s="1108" t="e">
        <f>VLOOKUP(S28,'DATOS &amp;'!$C$55:$L$109,7,FALSE)</f>
        <v>#N/A</v>
      </c>
      <c r="J28" s="1103" t="s">
        <v>379</v>
      </c>
      <c r="K28" s="1107"/>
      <c r="L28" s="1104"/>
      <c r="M28" s="1111"/>
      <c r="N28" s="1104"/>
      <c r="O28" s="1113" t="e">
        <f>VLOOKUP(S28,'DATOS &amp;'!$C$55:$L$109,8,FALSE)</f>
        <v>#N/A</v>
      </c>
      <c r="P28" s="1114" t="e">
        <f>VLOOKUP(S28,'DATOS &amp;'!$C$55:$L$109,9,FALSE)</f>
        <v>#N/A</v>
      </c>
      <c r="Q28" s="992"/>
      <c r="R28" s="300"/>
      <c r="S28" s="1095"/>
    </row>
    <row r="29" spans="1:19" s="250" customFormat="1" ht="30" customHeight="1" x14ac:dyDescent="0.25">
      <c r="A29" s="1638"/>
      <c r="B29" s="1121" t="e">
        <f>VLOOKUP(S23,'DATOS &amp;'!$C$55:$L$109,3,FALSE)</f>
        <v>#N/A</v>
      </c>
      <c r="C29" s="1110" t="e">
        <f>VLOOKUP(S29,'DATOS &amp;'!$C$55:$L$109,4,FALSE)</f>
        <v>#N/A</v>
      </c>
      <c r="D29" s="1103" t="s">
        <v>584</v>
      </c>
      <c r="E29" s="1108" t="e">
        <f>VLOOKUP(S29,'DATOS &amp;'!$C$55:$L$109,5,FALSE)</f>
        <v>#N/A</v>
      </c>
      <c r="F29" s="1103" t="s">
        <v>584</v>
      </c>
      <c r="G29" s="1110" t="e">
        <f>VLOOKUP(S29,'DATOS &amp;'!$C$55:$L$109,6,FALSE)</f>
        <v>#N/A</v>
      </c>
      <c r="H29" s="1103" t="s">
        <v>584</v>
      </c>
      <c r="I29" s="1110" t="e">
        <f>VLOOKUP(S29,'DATOS &amp;'!$C$55:$L$109,7,FALSE)</f>
        <v>#N/A</v>
      </c>
      <c r="J29" s="1103" t="s">
        <v>584</v>
      </c>
      <c r="K29" s="1107"/>
      <c r="L29" s="1104"/>
      <c r="M29" s="1111"/>
      <c r="N29" s="1104"/>
      <c r="O29" s="1113" t="e">
        <f>VLOOKUP(S29,'DATOS &amp;'!$C$55:$L$109,8,FALSE)</f>
        <v>#N/A</v>
      </c>
      <c r="P29" s="1114" t="e">
        <f>VLOOKUP(S29,'DATOS &amp;'!$C$55:$L$109,9,FALSE)</f>
        <v>#N/A</v>
      </c>
      <c r="Q29" s="992"/>
      <c r="R29" s="300"/>
      <c r="S29" s="1095"/>
    </row>
    <row r="30" spans="1:19" s="250" customFormat="1" ht="30" customHeight="1" x14ac:dyDescent="0.25">
      <c r="A30" s="1638"/>
      <c r="B30" s="1121" t="e">
        <f>VLOOKUP(S23,'DATOS &amp;'!$C$55:$L$109,3,FALSE)</f>
        <v>#N/A</v>
      </c>
      <c r="C30" s="1110" t="e">
        <f>VLOOKUP(S30,'DATOS &amp;'!$C$55:$L$109,4,FALSE)</f>
        <v>#N/A</v>
      </c>
      <c r="D30" s="1103" t="s">
        <v>584</v>
      </c>
      <c r="E30" s="1108" t="e">
        <f>VLOOKUP(S30,'DATOS &amp;'!$C$55:$L$109,5,FALSE)</f>
        <v>#N/A</v>
      </c>
      <c r="F30" s="1103" t="s">
        <v>584</v>
      </c>
      <c r="G30" s="1110" t="e">
        <f>VLOOKUP(S30,'DATOS &amp;'!$C$55:$L$109,6,FALSE)</f>
        <v>#N/A</v>
      </c>
      <c r="H30" s="1103" t="s">
        <v>584</v>
      </c>
      <c r="I30" s="1110" t="e">
        <f>VLOOKUP(S30,'DATOS &amp;'!$C$55:$L$109,7,FALSE)</f>
        <v>#N/A</v>
      </c>
      <c r="J30" s="1103" t="s">
        <v>584</v>
      </c>
      <c r="K30" s="1107"/>
      <c r="L30" s="1104"/>
      <c r="M30" s="1111"/>
      <c r="N30" s="1104"/>
      <c r="O30" s="1113" t="e">
        <f>VLOOKUP(S30,'DATOS &amp;'!$C$55:$L$109,8,FALSE)</f>
        <v>#N/A</v>
      </c>
      <c r="P30" s="1114" t="e">
        <f>VLOOKUP(S30,'DATOS &amp;'!$C$55:$L$109,9,FALSE)</f>
        <v>#N/A</v>
      </c>
      <c r="Q30" s="992"/>
      <c r="R30" s="300"/>
      <c r="S30" s="1095"/>
    </row>
    <row r="31" spans="1:19" s="250" customFormat="1" ht="30" customHeight="1" thickBot="1" x14ac:dyDescent="0.3">
      <c r="A31" s="1639"/>
      <c r="B31" s="1121" t="e">
        <f>VLOOKUP(S23,'DATOS &amp;'!$C$55:$L$109,3,FALSE)</f>
        <v>#N/A</v>
      </c>
      <c r="C31" s="1110" t="e">
        <f>VLOOKUP(S31,'DATOS &amp;'!$C$55:$L$109,4,FALSE)</f>
        <v>#N/A</v>
      </c>
      <c r="D31" s="1103" t="s">
        <v>584</v>
      </c>
      <c r="E31" s="1108" t="e">
        <f>VLOOKUP(S31,'DATOS &amp;'!$C$55:$L$109,5,FALSE)</f>
        <v>#N/A</v>
      </c>
      <c r="F31" s="1103" t="s">
        <v>584</v>
      </c>
      <c r="G31" s="1110" t="e">
        <f>VLOOKUP(S31,'DATOS &amp;'!$C$55:$L$109,6,FALSE)</f>
        <v>#N/A</v>
      </c>
      <c r="H31" s="1103" t="s">
        <v>584</v>
      </c>
      <c r="I31" s="1110" t="e">
        <f>VLOOKUP(S31,'DATOS &amp;'!$C$55:$L$109,7,FALSE)</f>
        <v>#N/A</v>
      </c>
      <c r="J31" s="1103" t="s">
        <v>584</v>
      </c>
      <c r="K31" s="1107"/>
      <c r="L31" s="1104"/>
      <c r="M31" s="1111"/>
      <c r="N31" s="1104"/>
      <c r="O31" s="1113" t="e">
        <f>VLOOKUP(S31,'DATOS &amp;'!$C$55:$L$109,8,FALSE)</f>
        <v>#N/A</v>
      </c>
      <c r="P31" s="1114" t="e">
        <f>VLOOKUP(S31,'DATOS &amp;'!$C$55:$L$109,9,FALSE)</f>
        <v>#N/A</v>
      </c>
      <c r="Q31" s="992"/>
      <c r="R31" s="300"/>
      <c r="S31" s="1096"/>
    </row>
    <row r="32" spans="1:19" s="250" customFormat="1" ht="30" customHeight="1" thickBot="1" x14ac:dyDescent="0.3">
      <c r="A32" s="1100" t="s">
        <v>585</v>
      </c>
      <c r="B32" s="1121" t="e">
        <f>VLOOKUP(S32,'DATOS &amp;'!$C$191:$R$194,3,FALSE)</f>
        <v>#N/A</v>
      </c>
      <c r="C32" s="1110" t="e">
        <f>VLOOKUP(S32,'DATOS &amp;'!$C$191:$R$194,4,FALSE)</f>
        <v>#N/A</v>
      </c>
      <c r="D32" s="1103"/>
      <c r="E32" s="1109" t="e">
        <f>VLOOKUP(S32,'DATOS &amp;'!$C$191:$R$194,5,FALSE)</f>
        <v>#N/A</v>
      </c>
      <c r="F32" s="1105" t="s">
        <v>659</v>
      </c>
      <c r="G32" s="1110" t="e">
        <f>VLOOKUP(S32,'DATOS &amp;'!$C$191:$R$194,6,FALSE)</f>
        <v>#N/A</v>
      </c>
      <c r="H32" s="1103"/>
      <c r="I32" s="1109" t="e">
        <f>VLOOKUP(S32,'DATOS &amp;'!$C$191:$R$194,7,FALSE)</f>
        <v>#N/A</v>
      </c>
      <c r="J32" s="1105" t="s">
        <v>659</v>
      </c>
      <c r="K32" s="1107"/>
      <c r="L32" s="1104"/>
      <c r="M32" s="1111"/>
      <c r="N32" s="1104"/>
      <c r="O32" s="1113" t="e">
        <f>VLOOKUP(S32,'DATOS &amp;'!$C$191:$R$194,8,FALSE)</f>
        <v>#N/A</v>
      </c>
      <c r="P32" s="1114" t="e">
        <f>VLOOKUP(S32,'DATOS &amp;'!$C$191:$R$194,9,FALSE)</f>
        <v>#N/A</v>
      </c>
      <c r="Q32" s="1007"/>
      <c r="R32" s="268"/>
      <c r="S32" s="1097"/>
    </row>
    <row r="33" spans="1:19" s="250" customFormat="1" ht="81" customHeight="1" thickBot="1" x14ac:dyDescent="0.3">
      <c r="A33" s="271" t="s">
        <v>105</v>
      </c>
      <c r="B33" s="272" t="e">
        <f>VLOOKUP(S33,'DATOS &amp;'!$C$112:$W$118,3,FALSE)</f>
        <v>#N/A</v>
      </c>
      <c r="C33" s="270" t="e">
        <f>VLOOKUP(S33,'DATOS &amp;'!$C$112:$W$118,4,FALSE)</f>
        <v>#N/A</v>
      </c>
      <c r="D33" s="261" t="s">
        <v>2</v>
      </c>
      <c r="E33" s="270" t="e">
        <f>VLOOKUP(S33,'DATOS &amp;'!$C$112:$W$118,5,FALSE)</f>
        <v>#N/A</v>
      </c>
      <c r="F33" s="261" t="s">
        <v>2</v>
      </c>
      <c r="G33" s="270" t="e">
        <f>VLOOKUP(S33,'DATOS &amp;'!$C$112:$W$118,6,FALSE)</f>
        <v>#N/A</v>
      </c>
      <c r="H33" s="261" t="s">
        <v>2</v>
      </c>
      <c r="I33" s="270" t="e">
        <f>VLOOKUP(S33,'DATOS &amp;'!$C$112:$W$118,7,FALSE)</f>
        <v>#N/A</v>
      </c>
      <c r="J33" s="273" t="s">
        <v>2</v>
      </c>
      <c r="K33" s="566" t="e">
        <f>VLOOKUP(S33,'DATOS &amp;'!$C$112:$W$118,21,FALSE)</f>
        <v>#N/A</v>
      </c>
      <c r="L33" s="261" t="s">
        <v>2</v>
      </c>
      <c r="M33" s="1122" t="e">
        <f t="shared" si="0"/>
        <v>#N/A</v>
      </c>
      <c r="N33" s="261" t="s">
        <v>2</v>
      </c>
      <c r="O33" s="263" t="e">
        <f>VLOOKUP(S33,'DATOS &amp;'!$C$112:$W$118,8,FALSE)</f>
        <v>#N/A</v>
      </c>
      <c r="P33" s="257" t="e">
        <f>VLOOKUP(S33,'DATOS &amp;'!$C$112:$W$118,9,FALSE)</f>
        <v>#N/A</v>
      </c>
      <c r="Q33" s="274" t="s">
        <v>407</v>
      </c>
      <c r="R33" s="275" t="s">
        <v>408</v>
      </c>
      <c r="S33" s="276"/>
    </row>
    <row r="34" spans="1:19" s="279" customFormat="1" ht="30" customHeight="1" x14ac:dyDescent="0.25">
      <c r="A34" s="271" t="s">
        <v>106</v>
      </c>
      <c r="B34" s="1690" t="e">
        <f>VLOOKUP(S34,'DATOS &amp;'!$C$121:$AA$128,3,FALSE)</f>
        <v>#N/A</v>
      </c>
      <c r="C34" s="1692" t="e">
        <f>VLOOKUP(S34,'DATOS &amp;'!$C$121:$AA$128,4,FALSE)</f>
        <v>#N/A</v>
      </c>
      <c r="D34" s="1669" t="s">
        <v>2</v>
      </c>
      <c r="E34" s="1688" t="e">
        <f>VLOOKUP(S34,'DATOS &amp;'!$C$121:$AA$128,5,FALSE)</f>
        <v>#N/A</v>
      </c>
      <c r="F34" s="1669" t="s">
        <v>2</v>
      </c>
      <c r="G34" s="1692" t="e">
        <f>VLOOKUP(S34,'DATOS &amp;'!$C$121:$AA$128,6,FALSE)</f>
        <v>#N/A</v>
      </c>
      <c r="H34" s="1669" t="s">
        <v>2</v>
      </c>
      <c r="I34" s="1688" t="e">
        <f>VLOOKUP(S34,'DATOS &amp;'!$C$121:$AA$128,7,FALSE)</f>
        <v>#N/A</v>
      </c>
      <c r="J34" s="1669" t="s">
        <v>2</v>
      </c>
      <c r="K34" s="1685" t="e">
        <f>VLOOKUP(S34,'DATOS &amp;'!$C$121:$AA$128,25,FALSE)</f>
        <v>#N/A</v>
      </c>
      <c r="L34" s="1686" t="s">
        <v>2</v>
      </c>
      <c r="M34" s="1667" t="e">
        <f t="shared" si="0"/>
        <v>#N/A</v>
      </c>
      <c r="N34" s="1686" t="s">
        <v>2</v>
      </c>
      <c r="O34" s="1688" t="e">
        <f>VLOOKUP(S34,'DATOS &amp;'!$C$121:$AA$128,8,FALSE)</f>
        <v>#N/A</v>
      </c>
      <c r="P34" s="1702" t="e">
        <f>VLOOKUP(S34,'DATOS &amp;'!$C$121:$AA$128,9,FALSE)</f>
        <v>#N/A</v>
      </c>
      <c r="Q34" s="277" t="e">
        <f>VLOOKUP(S34,'DATOS &amp;'!$C$121:$AA$128,12,FALSE)</f>
        <v>#N/A</v>
      </c>
      <c r="R34" s="278" t="e">
        <f>VLOOKUP(S34,'DATOS &amp;'!$C$121:$AA$128,14,FALSE)</f>
        <v>#N/A</v>
      </c>
      <c r="S34" s="1677"/>
    </row>
    <row r="35" spans="1:19" s="15" customFormat="1" ht="30" customHeight="1" thickBot="1" x14ac:dyDescent="0.3">
      <c r="A35" s="280"/>
      <c r="B35" s="1691"/>
      <c r="C35" s="1693"/>
      <c r="D35" s="1670"/>
      <c r="E35" s="1689"/>
      <c r="F35" s="1670"/>
      <c r="G35" s="1693"/>
      <c r="H35" s="1670"/>
      <c r="I35" s="1689"/>
      <c r="J35" s="1670"/>
      <c r="K35" s="1685"/>
      <c r="L35" s="1687"/>
      <c r="M35" s="1668"/>
      <c r="N35" s="1687"/>
      <c r="O35" s="1689"/>
      <c r="P35" s="1703"/>
      <c r="Q35" s="281" t="e">
        <f>VLOOKUP(S34,'DATOS &amp;'!$C$121:$AA$128,13,FALSE)</f>
        <v>#N/A</v>
      </c>
      <c r="R35" s="282" t="e">
        <f>VLOOKUP(S34,'DATOS &amp;'!$C$121:$AA$128,15,FALSE)</f>
        <v>#N/A</v>
      </c>
      <c r="S35" s="1678"/>
    </row>
    <row r="36" spans="1:19" s="16" customFormat="1" ht="27.75" customHeight="1" thickBot="1" x14ac:dyDescent="0.3">
      <c r="A36" s="283" t="s">
        <v>287</v>
      </c>
      <c r="B36" s="272" t="e">
        <f>VLOOKUP(S36,'DATOS &amp;'!$C$131:$K$132,3,FALSE)</f>
        <v>#N/A</v>
      </c>
      <c r="C36" s="263" t="e">
        <f>VLOOKUP(S36,'DATOS &amp;'!$C$131:$K$132,4,FALSE)</f>
        <v>#N/A</v>
      </c>
      <c r="D36" s="261" t="s">
        <v>104</v>
      </c>
      <c r="E36" s="284" t="e">
        <f>VLOOKUP(S36,'DATOS &amp;'!$C$131:$K$132,5,FALSE)</f>
        <v>#N/A</v>
      </c>
      <c r="F36" s="261" t="s">
        <v>104</v>
      </c>
      <c r="G36" s="285" t="e">
        <f>VLOOKUP(S36,'DATOS &amp;'!$C$131:$K$132,6,FALSE)</f>
        <v>#N/A</v>
      </c>
      <c r="H36" s="261" t="s">
        <v>104</v>
      </c>
      <c r="I36" s="285" t="e">
        <f>VLOOKUP(S36,'DATOS &amp;'!$C$131:$K$132,7,FALSE)</f>
        <v>#N/A</v>
      </c>
      <c r="J36" s="273" t="s">
        <v>104</v>
      </c>
      <c r="K36" s="308" t="e">
        <f>(I36/2)/SQRT(12)</f>
        <v>#N/A</v>
      </c>
      <c r="L36" s="261" t="s">
        <v>104</v>
      </c>
      <c r="M36" s="1122" t="e">
        <f>SQRT((I36/2)^2+(K36)^2)</f>
        <v>#N/A</v>
      </c>
      <c r="N36" s="286" t="s">
        <v>104</v>
      </c>
      <c r="O36" s="8" t="e">
        <f>VLOOKUP(S36,'DATOS &amp;'!$C$131:$K$132,8,FALSE)</f>
        <v>#N/A</v>
      </c>
      <c r="P36" s="257" t="e">
        <f>VLOOKUP(S36,'DATOS &amp;'!$C$131:$K$132,9,FALSE)</f>
        <v>#N/A</v>
      </c>
      <c r="Q36" s="287"/>
      <c r="R36" s="288"/>
      <c r="S36" s="258"/>
    </row>
    <row r="37" spans="1:19" s="15" customFormat="1" ht="30" customHeight="1" thickBot="1" x14ac:dyDescent="0.3">
      <c r="A37" s="1026" t="s">
        <v>46</v>
      </c>
      <c r="B37" s="289" t="e">
        <f>VLOOKUP(S37,'DATOS &amp;'!$C$137:$K$152,3,FALSE)</f>
        <v>#N/A</v>
      </c>
      <c r="C37" s="290" t="e">
        <f>VLOOKUP(S37,'DATOS &amp;'!$C$137:$K$152,4,FALSE)</f>
        <v>#N/A</v>
      </c>
      <c r="D37" s="291" t="s">
        <v>95</v>
      </c>
      <c r="E37" s="292" t="e">
        <f>VLOOKUP(S37,'DATOS &amp;'!$C$137:$K$152,5,FALSE)</f>
        <v>#N/A</v>
      </c>
      <c r="F37" s="291" t="s">
        <v>95</v>
      </c>
      <c r="G37" s="293" t="e">
        <f>VLOOKUP(S37,'DATOS &amp;'!$C$137:$K$152,6,FALSE)</f>
        <v>#N/A</v>
      </c>
      <c r="H37" s="291" t="s">
        <v>95</v>
      </c>
      <c r="I37" s="294" t="e">
        <f>VLOOKUP(S37,'DATOS &amp;'!$C$137:$K$152,7,FALSE)</f>
        <v>#N/A</v>
      </c>
      <c r="J37" s="291" t="s">
        <v>95</v>
      </c>
      <c r="K37" s="295" t="e">
        <f>(I37/2)/SQRT(12)</f>
        <v>#N/A</v>
      </c>
      <c r="L37" s="291" t="s">
        <v>95</v>
      </c>
      <c r="M37" s="1123" t="e">
        <f>SQRT((I37/2)^2+(K37)^2)</f>
        <v>#N/A</v>
      </c>
      <c r="N37" s="291" t="s">
        <v>95</v>
      </c>
      <c r="O37" s="290" t="e">
        <f>VLOOKUP(S37,'DATOS &amp;'!$C$137:$K$152,8,FALSE)</f>
        <v>#N/A</v>
      </c>
      <c r="P37" s="296" t="e">
        <f>VLOOKUP(S37,'DATOS &amp;'!$C$137:$K$152,9,FALSE)</f>
        <v>#N/A</v>
      </c>
      <c r="Q37" s="297"/>
      <c r="R37" s="298"/>
      <c r="S37" s="269"/>
    </row>
    <row r="38" spans="1:19" s="15" customFormat="1" ht="30" customHeight="1" thickBot="1" x14ac:dyDescent="0.3">
      <c r="A38" s="1052"/>
      <c r="B38" s="1056"/>
      <c r="C38" s="1056"/>
      <c r="D38" s="1059"/>
      <c r="E38" s="1060"/>
      <c r="F38" s="1059"/>
      <c r="G38" s="1061"/>
      <c r="H38" s="1059"/>
      <c r="I38" s="1062"/>
      <c r="J38" s="1059"/>
      <c r="K38" s="1063"/>
      <c r="L38" s="1059"/>
      <c r="M38" s="1058"/>
      <c r="N38" s="1059"/>
      <c r="O38" s="1056"/>
      <c r="P38" s="1064"/>
      <c r="Q38" s="1058"/>
      <c r="R38" s="1058"/>
      <c r="S38" s="1065"/>
    </row>
    <row r="39" spans="1:19" s="15" customFormat="1" ht="30" customHeight="1" thickBot="1" x14ac:dyDescent="0.3">
      <c r="A39" s="1724" t="s">
        <v>680</v>
      </c>
      <c r="B39" s="1725"/>
      <c r="C39" s="1725"/>
      <c r="D39" s="1725"/>
      <c r="F39" s="1055"/>
      <c r="G39" s="1061"/>
      <c r="H39" s="1059"/>
      <c r="I39" s="1062"/>
      <c r="J39" s="1059"/>
      <c r="K39" s="1063"/>
      <c r="L39" s="1059"/>
      <c r="M39" s="1058"/>
      <c r="N39" s="1059"/>
      <c r="O39" s="1056"/>
      <c r="P39" s="1064"/>
      <c r="Q39" s="1058"/>
      <c r="R39" s="1058"/>
      <c r="S39" s="1065"/>
    </row>
    <row r="40" spans="1:19" s="15" customFormat="1" ht="30" customHeight="1" thickBot="1" x14ac:dyDescent="0.3">
      <c r="A40" s="1057" t="s">
        <v>47</v>
      </c>
      <c r="B40" s="1093"/>
      <c r="C40" s="1679" t="s">
        <v>0</v>
      </c>
      <c r="D40" s="1698"/>
      <c r="E40" s="1066"/>
      <c r="F40" s="1059"/>
      <c r="G40" s="1061"/>
      <c r="H40" s="1059"/>
      <c r="I40" s="1062"/>
      <c r="J40" s="1059"/>
      <c r="K40" s="1063"/>
      <c r="L40" s="1059"/>
      <c r="M40" s="1058"/>
      <c r="N40" s="1059"/>
      <c r="O40" s="1056"/>
      <c r="P40" s="1064"/>
      <c r="Q40" s="1058"/>
      <c r="R40" s="1058"/>
      <c r="S40" s="1065"/>
    </row>
    <row r="41" spans="1:19" s="15" customFormat="1" ht="30" customHeight="1" thickBot="1" x14ac:dyDescent="0.3">
      <c r="A41" s="1675" t="s">
        <v>26</v>
      </c>
      <c r="B41" s="1676"/>
      <c r="C41" s="1735" t="e">
        <f>VLOOKUP($E$41,'DATOS &amp;'!$B$14:$N$16,2,FALSE)</f>
        <v>#N/A</v>
      </c>
      <c r="D41" s="1736"/>
      <c r="E41" s="738"/>
      <c r="F41" s="1059"/>
      <c r="G41" s="1061"/>
      <c r="H41" s="1059"/>
      <c r="I41" s="1062"/>
      <c r="J41" s="1059"/>
      <c r="K41" s="1063"/>
      <c r="L41" s="1059"/>
      <c r="M41" s="1058"/>
      <c r="N41" s="1059"/>
      <c r="O41" s="1056"/>
      <c r="P41" s="1064"/>
      <c r="Q41" s="1058"/>
      <c r="R41" s="1058"/>
      <c r="S41" s="1065"/>
    </row>
    <row r="42" spans="1:19" s="15" customFormat="1" ht="30" customHeight="1" thickBot="1" x14ac:dyDescent="0.3">
      <c r="A42" s="1675" t="s">
        <v>27</v>
      </c>
      <c r="B42" s="1676"/>
      <c r="C42" s="1737" t="e">
        <f>VLOOKUP($E$41,'DATOS &amp;'!$B$14:$N$16,3,FALSE)</f>
        <v>#N/A</v>
      </c>
      <c r="D42" s="1738"/>
      <c r="E42" s="1066"/>
      <c r="F42" s="1059"/>
      <c r="G42" s="1061"/>
      <c r="H42" s="1059"/>
      <c r="I42" s="1062"/>
      <c r="J42" s="1059"/>
      <c r="K42" s="1063"/>
      <c r="L42" s="1059"/>
      <c r="M42" s="1058"/>
      <c r="N42" s="1059"/>
      <c r="O42" s="1056"/>
      <c r="P42" s="1064"/>
      <c r="Q42" s="1058"/>
      <c r="R42" s="1058"/>
      <c r="S42" s="1065"/>
    </row>
    <row r="43" spans="1:19" s="15" customFormat="1" ht="30" customHeight="1" thickBot="1" x14ac:dyDescent="0.3">
      <c r="A43" s="1675" t="s">
        <v>16</v>
      </c>
      <c r="B43" s="1676"/>
      <c r="C43" s="1739" t="e">
        <f>VLOOKUP($E$41,'DATOS &amp;'!$B$14:$N$16,4,FALSE)</f>
        <v>#N/A</v>
      </c>
      <c r="D43" s="1740"/>
      <c r="E43" s="1066"/>
      <c r="F43" s="1059"/>
      <c r="G43" s="1061"/>
      <c r="H43" s="1059"/>
      <c r="I43" s="1062"/>
      <c r="J43" s="1059"/>
      <c r="K43" s="1063"/>
      <c r="L43" s="1059"/>
      <c r="M43" s="1058"/>
      <c r="N43" s="1059"/>
      <c r="O43" s="1056"/>
      <c r="P43" s="1064"/>
      <c r="Q43" s="1058"/>
      <c r="R43" s="1058"/>
      <c r="S43" s="1065"/>
    </row>
    <row r="44" spans="1:19" s="15" customFormat="1" ht="30" customHeight="1" thickBot="1" x14ac:dyDescent="0.3">
      <c r="A44" s="1675" t="s">
        <v>54</v>
      </c>
      <c r="B44" s="1676"/>
      <c r="C44" s="1125" t="e">
        <f>VLOOKUP($E$41,'DATOS &amp;'!$B$14:$N$16,5,FALSE)</f>
        <v>#N/A</v>
      </c>
      <c r="D44" s="1067" t="s">
        <v>1</v>
      </c>
      <c r="E44" s="1066"/>
      <c r="F44" s="1059"/>
      <c r="G44" s="1061"/>
      <c r="H44" s="1059"/>
      <c r="I44" s="1062"/>
      <c r="J44" s="1059"/>
      <c r="K44" s="1063"/>
      <c r="L44" s="1059"/>
      <c r="M44" s="1058"/>
      <c r="N44" s="1059"/>
      <c r="O44" s="1056"/>
      <c r="P44" s="1064"/>
      <c r="Q44" s="1058"/>
      <c r="R44" s="1058"/>
      <c r="S44" s="1065"/>
    </row>
    <row r="45" spans="1:19" s="15" customFormat="1" ht="30" customHeight="1" thickBot="1" x14ac:dyDescent="0.3">
      <c r="A45" s="1675" t="s">
        <v>681</v>
      </c>
      <c r="B45" s="1676"/>
      <c r="C45" s="1125" t="e">
        <f>VLOOKUP($E$41,'DATOS &amp;'!$B$14:$N$16,6,FALSE)</f>
        <v>#N/A</v>
      </c>
      <c r="D45" s="1067" t="s">
        <v>6</v>
      </c>
      <c r="G45" s="1061"/>
      <c r="H45" s="1059"/>
      <c r="I45" s="1062"/>
      <c r="J45" s="1059"/>
      <c r="K45" s="1063"/>
      <c r="L45" s="1059"/>
      <c r="M45" s="1058"/>
      <c r="N45" s="1059"/>
      <c r="O45" s="1056"/>
      <c r="P45" s="1064"/>
      <c r="Q45" s="1058"/>
      <c r="R45" s="1058"/>
      <c r="S45" s="1065"/>
    </row>
    <row r="46" spans="1:19" s="15" customFormat="1" ht="30" customHeight="1" thickBot="1" x14ac:dyDescent="0.3">
      <c r="A46" s="1675" t="s">
        <v>55</v>
      </c>
      <c r="B46" s="1676"/>
      <c r="C46" s="1126" t="e">
        <f>VLOOKUP($E$41,'DATOS &amp;'!$B$14:$N$16,7,FALSE)</f>
        <v>#N/A</v>
      </c>
      <c r="D46" s="1067" t="s">
        <v>2</v>
      </c>
      <c r="E46" s="1066"/>
      <c r="F46" s="1059"/>
      <c r="G46" s="1061"/>
      <c r="H46" s="1059"/>
      <c r="I46" s="1062"/>
      <c r="J46" s="1059"/>
      <c r="K46" s="1063"/>
      <c r="L46" s="1059"/>
      <c r="M46" s="1058"/>
      <c r="N46" s="1059"/>
      <c r="O46" s="1056"/>
      <c r="P46" s="1064"/>
      <c r="Q46" s="1058"/>
      <c r="R46" s="1058"/>
      <c r="S46" s="1065"/>
    </row>
    <row r="47" spans="1:19" s="15" customFormat="1" ht="30" customHeight="1" thickBot="1" x14ac:dyDescent="0.3">
      <c r="A47" s="1675" t="s">
        <v>25</v>
      </c>
      <c r="B47" s="1676"/>
      <c r="C47" s="1125" t="e">
        <f>VLOOKUP($E$41,'DATOS &amp;'!$B$14:$N$16,8,FALSE)</f>
        <v>#N/A</v>
      </c>
      <c r="D47" s="1067" t="s">
        <v>2</v>
      </c>
      <c r="E47" s="1066"/>
      <c r="F47" s="1059"/>
      <c r="G47" s="1061"/>
      <c r="H47" s="1059"/>
      <c r="I47" s="1062"/>
      <c r="J47" s="1059"/>
      <c r="K47" s="1063"/>
      <c r="L47" s="1059"/>
      <c r="M47" s="1058"/>
      <c r="N47" s="1059"/>
      <c r="O47" s="1056"/>
      <c r="P47" s="1064"/>
      <c r="Q47" s="1058"/>
      <c r="R47" s="1058"/>
      <c r="S47" s="1065"/>
    </row>
    <row r="48" spans="1:19" s="15" customFormat="1" ht="30" customHeight="1" thickBot="1" x14ac:dyDescent="0.3">
      <c r="A48" s="1675" t="s">
        <v>288</v>
      </c>
      <c r="B48" s="1676"/>
      <c r="C48" s="1125" t="e">
        <f>VLOOKUP($E$41,'DATOS &amp;'!$B$14:$N$16,9,FALSE)</f>
        <v>#N/A</v>
      </c>
      <c r="D48" s="1067" t="s">
        <v>363</v>
      </c>
      <c r="E48" s="1068"/>
      <c r="F48" s="1059"/>
      <c r="G48" s="1061"/>
      <c r="H48" s="1059"/>
      <c r="I48" s="1062"/>
      <c r="J48" s="1059"/>
      <c r="K48" s="1063"/>
      <c r="L48" s="1059"/>
      <c r="M48" s="1058"/>
      <c r="N48" s="1059"/>
      <c r="O48" s="1056"/>
      <c r="P48" s="1064"/>
      <c r="Q48" s="1058"/>
      <c r="R48" s="1058"/>
      <c r="S48" s="1065"/>
    </row>
    <row r="49" spans="1:20" s="15" customFormat="1" ht="30" customHeight="1" thickBot="1" x14ac:dyDescent="0.3">
      <c r="A49" s="1675" t="s">
        <v>57</v>
      </c>
      <c r="B49" s="1676"/>
      <c r="C49" s="1125" t="e">
        <f>VLOOKUP($E$41,'DATOS &amp;'!$B$14:$N$16,10,FALSE)</f>
        <v>#N/A</v>
      </c>
      <c r="D49" s="1067" t="s">
        <v>10</v>
      </c>
      <c r="E49" s="1066"/>
      <c r="F49" s="1059"/>
      <c r="G49" s="1061"/>
      <c r="H49" s="1059"/>
      <c r="I49" s="1062"/>
      <c r="J49" s="1059"/>
      <c r="K49" s="1063"/>
      <c r="L49" s="1059"/>
      <c r="M49" s="1058"/>
      <c r="N49" s="1059"/>
      <c r="O49" s="1056"/>
      <c r="P49" s="1064"/>
      <c r="Q49" s="1058"/>
      <c r="R49" s="1058"/>
      <c r="S49" s="1065"/>
    </row>
    <row r="50" spans="1:20" s="15" customFormat="1" ht="30" customHeight="1" thickBot="1" x14ac:dyDescent="0.3">
      <c r="A50" s="1675" t="s">
        <v>58</v>
      </c>
      <c r="B50" s="1676"/>
      <c r="C50" s="1125" t="e">
        <f>VLOOKUP($E$41,'DATOS &amp;'!$B$14:$N$16,11,FALSE)</f>
        <v>#N/A</v>
      </c>
      <c r="D50" s="1067" t="s">
        <v>10</v>
      </c>
      <c r="E50" s="1066"/>
      <c r="F50" s="1059"/>
      <c r="G50" s="1061"/>
      <c r="H50" s="1059"/>
      <c r="I50" s="1062"/>
      <c r="J50" s="1059"/>
      <c r="K50" s="1063"/>
      <c r="L50" s="1059"/>
      <c r="M50" s="1058"/>
      <c r="N50" s="1059"/>
      <c r="O50" s="1056"/>
      <c r="P50" s="1064"/>
      <c r="Q50" s="1058"/>
      <c r="R50" s="1058"/>
      <c r="S50" s="1065"/>
    </row>
    <row r="51" spans="1:20" s="15" customFormat="1" ht="39.75" customHeight="1" thickBot="1" x14ac:dyDescent="0.3">
      <c r="A51" s="1733" t="s">
        <v>406</v>
      </c>
      <c r="B51" s="1734"/>
      <c r="C51" s="1127">
        <f>'DATOS &amp;'!M25</f>
        <v>9.9000000000000001E-6</v>
      </c>
      <c r="D51" s="1067" t="s">
        <v>363</v>
      </c>
      <c r="E51" s="1066"/>
      <c r="F51" s="1059"/>
      <c r="G51" s="1061"/>
      <c r="H51" s="1059"/>
      <c r="I51" s="1062"/>
      <c r="J51" s="1059"/>
      <c r="K51" s="1063"/>
      <c r="L51" s="1059"/>
      <c r="M51" s="1058"/>
      <c r="N51" s="1059"/>
      <c r="O51" s="1056"/>
      <c r="P51" s="1064"/>
      <c r="Q51" s="1058"/>
      <c r="R51" s="1058"/>
      <c r="S51" s="1065"/>
    </row>
    <row r="52" spans="1:20" s="15" customFormat="1" ht="30" customHeight="1" thickBot="1" x14ac:dyDescent="0.3">
      <c r="A52" s="248"/>
      <c r="B52" s="248"/>
      <c r="C52" s="1128">
        <f>(5*3.785412)*1000</f>
        <v>18927.060000000001</v>
      </c>
      <c r="D52" s="1129" t="s">
        <v>2</v>
      </c>
      <c r="E52" s="248"/>
      <c r="F52" s="248"/>
      <c r="G52" s="248"/>
      <c r="H52" s="248"/>
      <c r="I52" s="248"/>
      <c r="J52" s="248"/>
      <c r="K52" s="248"/>
      <c r="L52" s="248"/>
      <c r="M52" s="248"/>
      <c r="N52" s="248"/>
      <c r="O52" s="248"/>
      <c r="P52" s="248"/>
      <c r="Q52" s="248"/>
      <c r="R52" s="248"/>
    </row>
    <row r="53" spans="1:20" s="15" customFormat="1" ht="30" customHeight="1" thickBot="1" x14ac:dyDescent="0.3">
      <c r="A53" s="1742" t="s">
        <v>52</v>
      </c>
      <c r="B53" s="1743"/>
      <c r="C53" s="1124"/>
      <c r="D53" s="1073"/>
      <c r="E53" s="248"/>
      <c r="F53" s="248"/>
      <c r="G53" s="248"/>
      <c r="H53" s="248"/>
      <c r="I53" s="248"/>
      <c r="J53" s="248"/>
      <c r="K53" s="248"/>
      <c r="L53" s="248"/>
      <c r="M53" s="248"/>
      <c r="N53" s="248"/>
      <c r="O53" s="248"/>
      <c r="P53" s="248"/>
      <c r="Q53" s="248"/>
      <c r="R53" s="248"/>
    </row>
    <row r="54" spans="1:20" s="15" customFormat="1" ht="30" customHeight="1" thickBot="1" x14ac:dyDescent="0.3">
      <c r="A54" s="248"/>
      <c r="B54" s="248"/>
      <c r="C54" s="248"/>
      <c r="D54" s="248"/>
      <c r="E54" s="248"/>
      <c r="F54" s="248"/>
      <c r="G54" s="248"/>
      <c r="H54" s="248"/>
      <c r="I54" s="248"/>
      <c r="J54" s="248"/>
      <c r="K54" s="248"/>
      <c r="L54" s="248"/>
      <c r="M54" s="248"/>
      <c r="N54" s="248"/>
      <c r="O54" s="248"/>
      <c r="P54" s="248"/>
      <c r="Q54" s="248"/>
      <c r="R54" s="248"/>
      <c r="T54" s="582"/>
    </row>
    <row r="55" spans="1:20" s="15" customFormat="1" ht="30" customHeight="1" thickBot="1" x14ac:dyDescent="0.3">
      <c r="A55" s="1679" t="s">
        <v>117</v>
      </c>
      <c r="B55" s="1680"/>
      <c r="C55" s="1681" t="e">
        <f>VLOOKUP(G55,'DATOS &amp;'!P9:R13,2,FALSE)</f>
        <v>#N/A</v>
      </c>
      <c r="D55" s="1682"/>
      <c r="E55" s="1682"/>
      <c r="F55" s="1683"/>
      <c r="G55" s="254"/>
      <c r="H55" s="248"/>
      <c r="I55" s="248"/>
      <c r="J55" s="248"/>
      <c r="K55" s="248"/>
      <c r="L55" s="248"/>
      <c r="M55" s="248"/>
      <c r="N55" s="248"/>
      <c r="O55" s="248"/>
      <c r="P55" s="248"/>
      <c r="Q55" s="248"/>
      <c r="R55" s="248"/>
    </row>
    <row r="56" spans="1:20" s="15" customFormat="1" ht="30" customHeight="1" thickBot="1" x14ac:dyDescent="0.3">
      <c r="A56" s="248"/>
      <c r="B56" s="248"/>
      <c r="C56" s="248"/>
      <c r="D56" s="248"/>
      <c r="E56" s="248"/>
      <c r="F56" s="248"/>
      <c r="G56" s="248"/>
      <c r="H56" s="248"/>
      <c r="I56" s="248"/>
      <c r="J56" s="248"/>
      <c r="K56" s="248"/>
      <c r="L56" s="248"/>
      <c r="M56" s="248"/>
      <c r="N56" s="248"/>
      <c r="O56" s="248"/>
      <c r="P56" s="248"/>
      <c r="Q56" s="248"/>
      <c r="R56" s="248"/>
    </row>
    <row r="57" spans="1:20" s="15" customFormat="1" ht="30" customHeight="1" thickBot="1" x14ac:dyDescent="0.3">
      <c r="A57" s="1642" t="s">
        <v>682</v>
      </c>
      <c r="B57" s="1643"/>
      <c r="C57" s="1643"/>
      <c r="D57" s="1643"/>
      <c r="E57" s="1643"/>
      <c r="F57" s="1644"/>
      <c r="G57" s="1130" t="s">
        <v>213</v>
      </c>
      <c r="H57" s="1131"/>
      <c r="I57" s="1132"/>
      <c r="J57" s="1132"/>
      <c r="K57" s="1132"/>
      <c r="L57" s="1132"/>
      <c r="M57" s="1132"/>
      <c r="N57" s="1132"/>
      <c r="O57" s="1132"/>
      <c r="P57" s="1132"/>
      <c r="Q57" s="1132"/>
      <c r="R57" s="1132"/>
    </row>
    <row r="58" spans="1:20" s="15" customFormat="1" ht="30" customHeight="1" thickBot="1" x14ac:dyDescent="0.3">
      <c r="A58" s="1240"/>
      <c r="B58" s="1241">
        <v>1</v>
      </c>
      <c r="C58" s="1241">
        <v>2</v>
      </c>
      <c r="D58" s="1241">
        <v>3</v>
      </c>
      <c r="E58" s="1241">
        <v>4</v>
      </c>
      <c r="F58" s="1242">
        <v>5</v>
      </c>
      <c r="G58" s="1133"/>
      <c r="H58" s="1132"/>
      <c r="I58" s="1132"/>
      <c r="J58" s="1132"/>
      <c r="K58" s="1132"/>
      <c r="L58" s="1132"/>
      <c r="M58" s="1132"/>
      <c r="N58" s="1132"/>
      <c r="O58" s="1132"/>
      <c r="P58" s="1132"/>
      <c r="Q58" s="1132"/>
      <c r="R58" s="1132"/>
    </row>
    <row r="59" spans="1:20" s="15" customFormat="1" ht="30" customHeight="1" x14ac:dyDescent="0.25">
      <c r="A59" s="1243" t="s">
        <v>592</v>
      </c>
      <c r="B59" s="1134">
        <v>19.3</v>
      </c>
      <c r="C59" s="1134">
        <v>19.600000000000001</v>
      </c>
      <c r="D59" s="1134">
        <v>19.600000000000001</v>
      </c>
      <c r="E59" s="1134">
        <v>19.7</v>
      </c>
      <c r="F59" s="1135">
        <v>19.600000000000001</v>
      </c>
      <c r="G59" s="1132"/>
      <c r="H59" s="1132"/>
      <c r="I59" s="1132"/>
      <c r="J59" s="1132"/>
      <c r="K59" s="1132"/>
      <c r="L59" s="1132"/>
      <c r="M59" s="1132"/>
      <c r="N59" s="1132"/>
      <c r="O59" s="1132"/>
      <c r="P59" s="1132"/>
      <c r="Q59" s="1132"/>
      <c r="R59" s="1132"/>
      <c r="T59" s="299"/>
    </row>
    <row r="60" spans="1:20" s="15" customFormat="1" ht="30" customHeight="1" x14ac:dyDescent="0.25">
      <c r="A60" s="1243" t="s">
        <v>593</v>
      </c>
      <c r="B60" s="1134">
        <v>55.7</v>
      </c>
      <c r="C60" s="1134">
        <v>53</v>
      </c>
      <c r="D60" s="1134">
        <v>52.9</v>
      </c>
      <c r="E60" s="1134">
        <v>54.4</v>
      </c>
      <c r="F60" s="1135">
        <v>55.9</v>
      </c>
      <c r="G60" s="1132"/>
      <c r="H60" s="1132"/>
      <c r="I60" s="1132"/>
      <c r="J60" s="1132"/>
      <c r="K60" s="1132"/>
      <c r="L60" s="1132"/>
      <c r="M60" s="1132"/>
      <c r="N60" s="1132"/>
      <c r="O60" s="1132"/>
      <c r="P60" s="1132"/>
      <c r="Q60" s="1132"/>
      <c r="R60" s="1132"/>
      <c r="T60" s="299"/>
    </row>
    <row r="61" spans="1:20" s="15" customFormat="1" ht="30" customHeight="1" thickBot="1" x14ac:dyDescent="0.3">
      <c r="A61" s="1244" t="s">
        <v>594</v>
      </c>
      <c r="B61" s="1136">
        <v>750.1</v>
      </c>
      <c r="C61" s="1136">
        <v>749.9</v>
      </c>
      <c r="D61" s="1136">
        <v>749.9</v>
      </c>
      <c r="E61" s="1136">
        <v>749.7</v>
      </c>
      <c r="F61" s="1137">
        <v>749.4</v>
      </c>
      <c r="G61" s="1138"/>
      <c r="H61" s="1139"/>
      <c r="I61" s="1140"/>
      <c r="J61" s="1140"/>
      <c r="K61" s="1140"/>
      <c r="L61" s="1140"/>
      <c r="M61" s="1140"/>
      <c r="N61" s="1673"/>
      <c r="O61" s="1673"/>
      <c r="P61" s="1674"/>
      <c r="Q61" s="1674"/>
      <c r="R61" s="1141"/>
      <c r="T61" s="299"/>
    </row>
    <row r="62" spans="1:20" s="15" customFormat="1" ht="30" customHeight="1" thickBot="1" x14ac:dyDescent="0.3">
      <c r="A62" s="1132"/>
      <c r="B62" s="1741"/>
      <c r="C62" s="1741"/>
      <c r="D62" s="1138"/>
      <c r="E62" s="1138"/>
      <c r="F62" s="1138"/>
      <c r="G62" s="1138"/>
      <c r="H62" s="1142"/>
      <c r="I62" s="1140"/>
      <c r="J62" s="1140"/>
      <c r="K62" s="1140"/>
      <c r="L62" s="1140"/>
      <c r="M62" s="1140"/>
      <c r="N62" s="1140"/>
      <c r="O62" s="1140"/>
      <c r="P62" s="1140"/>
      <c r="Q62" s="1140"/>
      <c r="R62" s="1140"/>
    </row>
    <row r="63" spans="1:20" s="15" customFormat="1" ht="33.75" customHeight="1" thickBot="1" x14ac:dyDescent="0.3">
      <c r="A63" s="1642" t="s">
        <v>660</v>
      </c>
      <c r="B63" s="1643"/>
      <c r="C63" s="1643"/>
      <c r="D63" s="1643"/>
      <c r="E63" s="1643"/>
      <c r="F63" s="1644"/>
      <c r="G63" s="1138"/>
      <c r="H63" s="1142"/>
      <c r="I63" s="1140"/>
      <c r="J63" s="1140"/>
      <c r="K63" s="1140"/>
      <c r="L63" s="1140"/>
      <c r="M63" s="1140"/>
      <c r="N63" s="1140"/>
      <c r="O63" s="1140"/>
      <c r="P63" s="1140"/>
      <c r="Q63" s="1140"/>
      <c r="R63" s="1140"/>
    </row>
    <row r="64" spans="1:20" s="15" customFormat="1" ht="48" customHeight="1" thickBot="1" x14ac:dyDescent="0.3">
      <c r="A64" s="1245" t="s">
        <v>592</v>
      </c>
      <c r="B64" s="1143" t="e">
        <f>B59+((VLOOKUP($G$58,'DATOS &amp;'!$B$158:$O$164,9,FALSE))*B59+(VLOOKUP($G$58,'DATOS &amp;'!$B$158:$O$164,10,FALSE)))</f>
        <v>#N/A</v>
      </c>
      <c r="C64" s="1143" t="e">
        <f>C59+((VLOOKUP($G$58,'DATOS &amp;'!$B$158:$O$164,9,FALSE))*C59+(VLOOKUP($G$58,'DATOS &amp;'!$B$158:$O$164,10,FALSE)))</f>
        <v>#N/A</v>
      </c>
      <c r="D64" s="1143" t="e">
        <f>D59+((VLOOKUP($G$58,'DATOS &amp;'!$B$158:$O$164,9,FALSE))*D59+(VLOOKUP($G$58,'DATOS &amp;'!$B$158:$O$164,10,FALSE)))</f>
        <v>#N/A</v>
      </c>
      <c r="E64" s="1143" t="e">
        <f>E59+((VLOOKUP($G$58,'DATOS &amp;'!$B$158:$O$164,9,FALSE))*E59+(VLOOKUP($G$58,'DATOS &amp;'!$B$158:$O$164,10,FALSE)))</f>
        <v>#N/A</v>
      </c>
      <c r="F64" s="1143" t="e">
        <f>F59+((VLOOKUP($G$58,'DATOS &amp;'!$B$158:$O$164,9,FALSE))*F59+(VLOOKUP($G$58,'DATOS &amp;'!$B$158:$O$164,10,FALSE)))</f>
        <v>#N/A</v>
      </c>
      <c r="G64" s="1138"/>
      <c r="H64" s="1142"/>
      <c r="I64" s="1673"/>
      <c r="J64" s="1673"/>
      <c r="K64" s="1673"/>
      <c r="L64" s="1673"/>
      <c r="M64" s="1673"/>
      <c r="N64" s="1673"/>
      <c r="O64" s="1144"/>
      <c r="P64" s="1144"/>
      <c r="Q64" s="1140"/>
      <c r="R64" s="1140"/>
    </row>
    <row r="65" spans="1:18" s="15" customFormat="1" ht="41.1" customHeight="1" thickBot="1" x14ac:dyDescent="0.3">
      <c r="A65" s="1245" t="s">
        <v>593</v>
      </c>
      <c r="B65" s="1143" t="e">
        <f>B60+((VLOOKUP($G$58,'DATOS &amp;'!$B$158:$O$164,11,FALSE))*B60+(VLOOKUP($G$58,'DATOS &amp;'!$B$158:$O$164,12,FALSE)))</f>
        <v>#N/A</v>
      </c>
      <c r="C65" s="1143" t="e">
        <f>C60+((VLOOKUP($G$58,'DATOS &amp;'!$B$158:$O$164,11,FALSE))*C60+(VLOOKUP($G$58,'DATOS &amp;'!$B$158:$O$164,12,FALSE)))</f>
        <v>#N/A</v>
      </c>
      <c r="D65" s="1143" t="e">
        <f>D60+((VLOOKUP($G$58,'DATOS &amp;'!$B$158:$O$164,11,FALSE))*D60+(VLOOKUP($G$58,'DATOS &amp;'!$B$158:$O$164,12,FALSE)))</f>
        <v>#N/A</v>
      </c>
      <c r="E65" s="1143" t="e">
        <f>E60+((VLOOKUP($G$58,'DATOS &amp;'!$B$158:$O$164,11,FALSE))*E60+(VLOOKUP($G$58,'DATOS &amp;'!$B$158:$O$164,12,FALSE)))</f>
        <v>#N/A</v>
      </c>
      <c r="F65" s="1143" t="e">
        <f>F60+((VLOOKUP($G$58,'DATOS &amp;'!$B$158:$O$164,11,FALSE))*F60+(VLOOKUP($G$58,'DATOS &amp;'!$B$158:$O$164,12,FALSE)))</f>
        <v>#N/A</v>
      </c>
      <c r="G65" s="1138"/>
      <c r="H65" s="1142"/>
      <c r="I65" s="1684"/>
      <c r="J65" s="1684"/>
      <c r="K65" s="1145"/>
      <c r="L65" s="1684"/>
      <c r="M65" s="1684"/>
      <c r="N65" s="1145"/>
      <c r="O65" s="1146"/>
      <c r="P65" s="1147"/>
      <c r="Q65" s="1140"/>
      <c r="R65" s="1140"/>
    </row>
    <row r="66" spans="1:18" s="15" customFormat="1" ht="41.1" customHeight="1" thickBot="1" x14ac:dyDescent="0.3">
      <c r="A66" s="1246" t="s">
        <v>594</v>
      </c>
      <c r="B66" s="1247" t="e">
        <f>B61+((VLOOKUP($G$58,'DATOS &amp;'!$B$158:$O$164,13,FALSE))*B61+(VLOOKUP($G$58,'DATOS &amp;'!$B$158:$O$164,14,FALSE)))</f>
        <v>#N/A</v>
      </c>
      <c r="C66" s="1247" t="e">
        <f>C61+((VLOOKUP($G$58,'DATOS &amp;'!$B$158:$O$164,13,FALSE))*C61+(VLOOKUP($G$58,'DATOS &amp;'!$B$158:$O$164,14,FALSE)))</f>
        <v>#N/A</v>
      </c>
      <c r="D66" s="1247" t="e">
        <f>D61+((VLOOKUP($G$58,'DATOS &amp;'!$B$158:$O$164,13,FALSE))*D61+(VLOOKUP($G$58,'DATOS &amp;'!$B$158:$O$164,14,FALSE)))</f>
        <v>#N/A</v>
      </c>
      <c r="E66" s="1247" t="e">
        <f>E61+((VLOOKUP($G$58,'DATOS &amp;'!$B$158:$O$164,13,FALSE))*E61+(VLOOKUP($G$58,'DATOS &amp;'!$B$158:$O$164,14,FALSE)))</f>
        <v>#N/A</v>
      </c>
      <c r="F66" s="1247" t="e">
        <f>F61+((VLOOKUP($G$58,'DATOS &amp;'!$B$158:$O$164,13,FALSE))*F61+(VLOOKUP($G$58,'DATOS &amp;'!$B$158:$O$164,14,FALSE)))</f>
        <v>#N/A</v>
      </c>
      <c r="G66" s="1142"/>
      <c r="H66" s="1142"/>
      <c r="I66" s="1684"/>
      <c r="J66" s="1684"/>
      <c r="K66" s="1145"/>
      <c r="L66" s="1684"/>
      <c r="M66" s="1684"/>
      <c r="N66" s="1145"/>
      <c r="O66" s="1146"/>
      <c r="P66" s="1147"/>
      <c r="Q66" s="1140"/>
      <c r="R66" s="1140"/>
    </row>
    <row r="67" spans="1:18" s="15" customFormat="1" ht="41.1" customHeight="1" thickBot="1" x14ac:dyDescent="0.3">
      <c r="A67" s="1139"/>
      <c r="B67" s="1140"/>
      <c r="C67" s="1140"/>
      <c r="D67" s="1140"/>
      <c r="E67" s="1140"/>
      <c r="F67" s="1140"/>
      <c r="G67" s="1140"/>
      <c r="H67" s="1140"/>
      <c r="I67" s="1684"/>
      <c r="J67" s="1684"/>
      <c r="K67" s="1145"/>
      <c r="L67" s="1684"/>
      <c r="M67" s="1684"/>
      <c r="N67" s="1145"/>
      <c r="O67" s="1146"/>
      <c r="P67" s="1147"/>
      <c r="Q67" s="1140"/>
      <c r="R67" s="1140"/>
    </row>
    <row r="68" spans="1:18" s="15" customFormat="1" ht="41.1" customHeight="1" x14ac:dyDescent="0.25">
      <c r="A68" s="1642" t="s">
        <v>683</v>
      </c>
      <c r="B68" s="1643"/>
      <c r="C68" s="1643"/>
      <c r="D68" s="1643"/>
      <c r="E68" s="1643"/>
      <c r="F68" s="1644"/>
      <c r="G68" s="1140"/>
      <c r="H68" s="1140"/>
      <c r="I68" s="1138"/>
      <c r="J68" s="1138"/>
      <c r="K68" s="1145"/>
      <c r="L68" s="1138"/>
      <c r="M68" s="1138"/>
      <c r="N68" s="1145"/>
      <c r="O68" s="1146"/>
      <c r="P68" s="1147"/>
      <c r="Q68" s="1140"/>
      <c r="R68" s="1140"/>
    </row>
    <row r="69" spans="1:18" s="15" customFormat="1" ht="41.1" customHeight="1" x14ac:dyDescent="0.25">
      <c r="A69" s="1645"/>
      <c r="B69" s="1249">
        <v>1</v>
      </c>
      <c r="C69" s="1249">
        <v>2</v>
      </c>
      <c r="D69" s="1249">
        <v>3</v>
      </c>
      <c r="E69" s="1249">
        <v>4</v>
      </c>
      <c r="F69" s="1249">
        <v>5</v>
      </c>
      <c r="G69" s="1140"/>
      <c r="H69" s="1140"/>
      <c r="I69" s="1138"/>
      <c r="J69" s="1138"/>
      <c r="K69" s="1145"/>
      <c r="L69" s="1138"/>
      <c r="M69" s="1138"/>
      <c r="N69" s="1145"/>
      <c r="O69" s="1146"/>
      <c r="P69" s="1147"/>
      <c r="Q69" s="1140"/>
      <c r="R69" s="1140"/>
    </row>
    <row r="70" spans="1:18" s="15" customFormat="1" ht="41.1" customHeight="1" x14ac:dyDescent="0.25">
      <c r="A70" s="1646"/>
      <c r="B70" s="1248" t="e">
        <f>(((0.34848*(B66))-(0.009*(B65)*(EXP(0.061*(B64)))))/(273.15+(B64)))/1000</f>
        <v>#N/A</v>
      </c>
      <c r="C70" s="1248" t="e">
        <f>(((0.34848*(C66))-(0.009*(C65)*(EXP(0.061*(C64)))))/(273.15+(C64)))/1000</f>
        <v>#N/A</v>
      </c>
      <c r="D70" s="1248" t="e">
        <f>(((0.34848*(D66))-(0.009*(D65)*(EXP(0.061*(D64)))))/(273.15+(D64)))/1000</f>
        <v>#N/A</v>
      </c>
      <c r="E70" s="1248" t="e">
        <f>(((0.34848*(E66))-(0.009*(E65)*(EXP(0.061*(E64)))))/(273.15+(E64)))/1000</f>
        <v>#N/A</v>
      </c>
      <c r="F70" s="1248" t="e">
        <f>(((0.34848*(F66))-(0.009*(F65)*(EXP(0.061*(F64)))))/(273.15+(F64)))/1000</f>
        <v>#N/A</v>
      </c>
      <c r="G70" s="1140"/>
      <c r="H70" s="1140"/>
      <c r="I70" s="1138"/>
      <c r="J70" s="1138"/>
      <c r="K70" s="1145"/>
      <c r="L70" s="1138"/>
      <c r="M70" s="1138"/>
      <c r="N70" s="1145"/>
      <c r="O70" s="1146"/>
      <c r="P70" s="1147"/>
      <c r="Q70" s="1140"/>
      <c r="R70" s="1140"/>
    </row>
    <row r="71" spans="1:18" s="15" customFormat="1" ht="41.1" customHeight="1" thickBot="1" x14ac:dyDescent="0.3">
      <c r="A71" s="1139"/>
      <c r="B71" s="1140"/>
      <c r="C71" s="1140"/>
      <c r="D71" s="1140"/>
      <c r="E71" s="1140"/>
      <c r="F71" s="1140"/>
      <c r="G71" s="1140"/>
      <c r="H71" s="1140"/>
      <c r="I71" s="1138"/>
      <c r="J71" s="1138"/>
      <c r="K71" s="1145"/>
      <c r="L71" s="1138"/>
      <c r="M71" s="1138"/>
      <c r="N71" s="1145"/>
      <c r="O71" s="1146"/>
      <c r="P71" s="1147"/>
      <c r="Q71" s="1140"/>
      <c r="R71" s="1140"/>
    </row>
    <row r="72" spans="1:18" s="15" customFormat="1" ht="41.1" customHeight="1" x14ac:dyDescent="0.25">
      <c r="A72" s="1642" t="s">
        <v>591</v>
      </c>
      <c r="B72" s="1643"/>
      <c r="C72" s="1643"/>
      <c r="D72" s="1643"/>
      <c r="E72" s="1643"/>
      <c r="F72" s="1644"/>
      <c r="G72" s="1140"/>
      <c r="H72" s="1140"/>
      <c r="I72" s="1138"/>
      <c r="J72" s="1138"/>
      <c r="K72" s="1145"/>
      <c r="L72" s="1138"/>
      <c r="M72" s="1138"/>
      <c r="N72" s="1145"/>
      <c r="O72" s="1146"/>
      <c r="P72" s="1147"/>
      <c r="Q72" s="1140"/>
      <c r="R72" s="1140"/>
    </row>
    <row r="73" spans="1:18" s="15" customFormat="1" ht="41.1" customHeight="1" x14ac:dyDescent="0.25">
      <c r="A73" s="1647"/>
      <c r="B73" s="1249">
        <v>1</v>
      </c>
      <c r="C73" s="1249">
        <v>2</v>
      </c>
      <c r="D73" s="1249">
        <v>3</v>
      </c>
      <c r="E73" s="1249">
        <v>4</v>
      </c>
      <c r="F73" s="1249">
        <v>5</v>
      </c>
      <c r="G73" s="1140"/>
      <c r="H73" s="1140"/>
      <c r="I73" s="1138"/>
      <c r="J73" s="1138"/>
      <c r="K73" s="1145"/>
      <c r="L73" s="1138"/>
      <c r="M73" s="1138"/>
      <c r="N73" s="1145"/>
      <c r="O73" s="1146"/>
      <c r="P73" s="1147"/>
      <c r="Q73" s="1140"/>
      <c r="R73" s="1140"/>
    </row>
    <row r="74" spans="1:18" s="15" customFormat="1" ht="41.1" customHeight="1" x14ac:dyDescent="0.25">
      <c r="A74" s="1647"/>
      <c r="B74" s="1248" t="e">
        <f>(((999.972*(1-(((B84+(-3.983035))^2*(B84+301.797))/(522528.9*(B84+69.34881)))))*(1+((0.0000000005074+((-0.00000000000326)*B84)+(0.0000000000000416*B84^2))*((B66*100)-101325))))+((-0.004612)+(0.000106*B84)))/1000</f>
        <v>#N/A</v>
      </c>
      <c r="C74" s="1248" t="e">
        <f>(((999.972*(1-(((C84+(-3.983035))^2*(C84+301.797))/(522528.9*(C84+69.34881)))))*(1+((0.0000000005074+((-0.00000000000326)*C84)+(0.0000000000000416*C84^2))*((C66*100)-101325))))+((-0.004612)+(0.000106*C84)))/1000</f>
        <v>#N/A</v>
      </c>
      <c r="D74" s="1248" t="e">
        <f>(((999.972*(1-(((D84+(-3.983035))^2*(D84+301.797))/(522528.9*(D84+69.34881)))))*(1+((0.0000000005074+((-0.00000000000326)*D84)+(0.0000000000000416*D84^2))*((D66*100)-101325))))+((-0.004612)+(0.000106*D84)))/1000</f>
        <v>#N/A</v>
      </c>
      <c r="E74" s="1248" t="e">
        <f>(((999.972*(1-(((E84+(-3.983035))^2*(E84+301.797))/(522528.9*(E84+69.34881)))))*(1+((0.0000000005074+((-0.00000000000326)*E84)+(0.0000000000000416*E84^2))*((E66*100)-101325))))+((-0.004612)+(0.000106*E84)))/1000</f>
        <v>#N/A</v>
      </c>
      <c r="F74" s="1248" t="e">
        <f>(((999.972*(1-(((F84+(-3.983035))^2*(F84+301.797))/(522528.9*(F84+69.34881)))))*(1+((0.0000000005074+((-0.00000000000326)*F84)+(0.0000000000000416*F84^2))*((F66*100)-101325))))+((-0.004612)+(0.000106*F84)))/1000</f>
        <v>#N/A</v>
      </c>
      <c r="G74" s="1140"/>
      <c r="H74" s="1140"/>
      <c r="I74" s="1138"/>
      <c r="J74" s="1138"/>
      <c r="K74" s="1145"/>
      <c r="L74" s="1138"/>
      <c r="M74" s="1138"/>
      <c r="N74" s="1145"/>
      <c r="O74" s="1146"/>
      <c r="P74" s="1147"/>
      <c r="Q74" s="1140"/>
      <c r="R74" s="1140"/>
    </row>
    <row r="75" spans="1:18" s="15" customFormat="1" ht="41.1" customHeight="1" x14ac:dyDescent="0.25">
      <c r="A75" s="1148"/>
      <c r="B75" s="1131"/>
      <c r="C75" s="1131"/>
      <c r="D75" s="1131"/>
      <c r="E75" s="1131"/>
      <c r="F75" s="1131"/>
      <c r="G75" s="1140"/>
      <c r="H75" s="1140"/>
      <c r="I75" s="1138"/>
      <c r="J75" s="1138"/>
      <c r="K75" s="1145"/>
      <c r="L75" s="1138"/>
      <c r="M75" s="1138"/>
      <c r="N75" s="1145"/>
      <c r="O75" s="1146"/>
      <c r="P75" s="1147"/>
      <c r="Q75" s="1140"/>
      <c r="R75" s="1140"/>
    </row>
    <row r="76" spans="1:18" s="15" customFormat="1" ht="41.1" customHeight="1" x14ac:dyDescent="0.25">
      <c r="A76" s="1148"/>
      <c r="B76" s="1131"/>
      <c r="C76" s="1131"/>
      <c r="D76" s="1131"/>
      <c r="E76" s="1131"/>
      <c r="F76" s="1131"/>
      <c r="G76" s="1140"/>
      <c r="H76" s="1140"/>
      <c r="I76" s="1138"/>
      <c r="J76" s="1138"/>
      <c r="K76" s="1145"/>
      <c r="L76" s="1138"/>
      <c r="M76" s="1138"/>
      <c r="N76" s="1145"/>
      <c r="O76" s="1146"/>
      <c r="P76" s="1147"/>
      <c r="Q76" s="1140"/>
      <c r="R76" s="1140"/>
    </row>
    <row r="77" spans="1:18" s="15" customFormat="1" ht="41.1" customHeight="1" x14ac:dyDescent="0.25">
      <c r="A77" s="1148"/>
      <c r="B77" s="1131"/>
      <c r="C77" s="1131"/>
      <c r="D77" s="1131"/>
      <c r="E77" s="1131"/>
      <c r="F77" s="1131"/>
      <c r="G77" s="1140"/>
      <c r="H77" s="1140"/>
      <c r="I77" s="1138"/>
      <c r="J77" s="1138"/>
      <c r="K77" s="1145"/>
      <c r="L77" s="1138"/>
      <c r="M77" s="1138"/>
      <c r="N77" s="1145"/>
      <c r="O77" s="1146"/>
      <c r="P77" s="1147"/>
      <c r="Q77" s="1140"/>
      <c r="R77" s="1140"/>
    </row>
    <row r="78" spans="1:18" s="15" customFormat="1" ht="41.1" customHeight="1" thickBot="1" x14ac:dyDescent="0.3">
      <c r="A78" s="1148"/>
      <c r="B78" s="1131"/>
      <c r="C78" s="1131"/>
      <c r="D78" s="1131"/>
      <c r="E78" s="1131"/>
      <c r="F78" s="1131"/>
      <c r="G78" s="1140"/>
      <c r="H78" s="1140"/>
      <c r="I78" s="1138"/>
      <c r="J78" s="1138"/>
      <c r="K78" s="1145"/>
      <c r="L78" s="1138"/>
      <c r="M78" s="1138"/>
      <c r="N78" s="1145"/>
      <c r="O78" s="1146"/>
      <c r="P78" s="1147"/>
      <c r="Q78" s="1140"/>
      <c r="R78" s="1140"/>
    </row>
    <row r="79" spans="1:18" s="15" customFormat="1" ht="42" customHeight="1" thickBot="1" x14ac:dyDescent="0.3">
      <c r="A79" s="1253"/>
      <c r="B79" s="1270">
        <v>5471.5</v>
      </c>
      <c r="C79" s="1270">
        <v>5461.2</v>
      </c>
      <c r="D79" s="1270">
        <v>5461</v>
      </c>
      <c r="E79" s="1270">
        <v>5461</v>
      </c>
      <c r="F79" s="1270">
        <v>5460.9</v>
      </c>
      <c r="G79" s="1256" t="s">
        <v>527</v>
      </c>
      <c r="H79" s="1133"/>
      <c r="I79" s="1138"/>
      <c r="J79" s="1138"/>
      <c r="K79" s="1145"/>
      <c r="L79" s="1138"/>
      <c r="M79" s="1138"/>
      <c r="N79" s="1145"/>
      <c r="O79" s="1146"/>
      <c r="P79" s="1147"/>
      <c r="Q79" s="1140"/>
      <c r="R79" s="1140"/>
    </row>
    <row r="80" spans="1:18" s="15" customFormat="1" ht="42" customHeight="1" x14ac:dyDescent="0.25">
      <c r="A80" s="1252"/>
      <c r="B80" s="1257" t="e">
        <f>B79+(VLOOKUP($H$79,'DATOS &amp;'!$A$170:$N$181,13,FALSE))*B79+(VLOOKUP($H$79,'DATOS &amp;'!$A$170:$N$181,14,FALSE))</f>
        <v>#N/A</v>
      </c>
      <c r="C80" s="1257" t="e">
        <f>C79+(VLOOKUP($H$79,'DATOS &amp;'!$A$170:$N$181,13,FALSE))*C79+(VLOOKUP($H$79,'DATOS &amp;'!$A$170:$N$181,14,FALSE))</f>
        <v>#N/A</v>
      </c>
      <c r="D80" s="1257" t="e">
        <f>D79+(VLOOKUP($H$79,'DATOS &amp;'!$A$170:$N$181,13,FALSE))*D79+(VLOOKUP($H$79,'DATOS &amp;'!$A$170:$N$181,14,FALSE))</f>
        <v>#N/A</v>
      </c>
      <c r="E80" s="1257" t="e">
        <f>E79+(VLOOKUP($H$79,'DATOS &amp;'!$A$170:$N$181,13,FALSE))*E79+(VLOOKUP($H$79,'DATOS &amp;'!$A$170:$N$181,14,FALSE))</f>
        <v>#N/A</v>
      </c>
      <c r="F80" s="1257" t="e">
        <f>F79+(VLOOKUP($H$79,'DATOS &amp;'!$A$170:$N$181,13,FALSE))*F79+(VLOOKUP($H$79,'DATOS &amp;'!$A$170:$N$181,14,FALSE))</f>
        <v>#N/A</v>
      </c>
      <c r="G80" s="1258" t="s">
        <v>527</v>
      </c>
      <c r="H80" s="1140"/>
      <c r="I80" s="1138"/>
      <c r="J80" s="1138"/>
      <c r="K80" s="1145"/>
      <c r="L80" s="1138"/>
      <c r="M80" s="1138"/>
      <c r="N80" s="1145"/>
      <c r="O80" s="1146"/>
      <c r="P80" s="1147"/>
      <c r="Q80" s="1140"/>
      <c r="R80" s="1140"/>
    </row>
    <row r="81" spans="1:25" s="15" customFormat="1" ht="42" customHeight="1" x14ac:dyDescent="0.25">
      <c r="A81" s="1252"/>
      <c r="B81" s="1271">
        <v>24362.1</v>
      </c>
      <c r="C81" s="1271">
        <v>24353.200000000001</v>
      </c>
      <c r="D81" s="1271">
        <v>24351.8</v>
      </c>
      <c r="E81" s="1271">
        <v>24351.8</v>
      </c>
      <c r="F81" s="1271">
        <v>24351.200000000001</v>
      </c>
      <c r="G81" s="1258" t="s">
        <v>527</v>
      </c>
      <c r="H81" s="1140"/>
      <c r="I81" s="1138"/>
      <c r="J81" s="1138"/>
      <c r="K81" s="1145"/>
      <c r="L81" s="1138"/>
      <c r="M81" s="1138"/>
      <c r="N81" s="1145"/>
      <c r="O81" s="1146"/>
      <c r="P81" s="1147"/>
      <c r="Q81" s="1140"/>
      <c r="R81" s="1140"/>
    </row>
    <row r="82" spans="1:25" s="15" customFormat="1" ht="42" customHeight="1" x14ac:dyDescent="0.25">
      <c r="A82" s="1252"/>
      <c r="B82" s="1257" t="e">
        <f>B81+(VLOOKUP($H$79,'DATOS &amp;'!$A$170:$N$181,13,FALSE))*B81+(VLOOKUP($H$79,'DATOS &amp;'!$A$170:$N$181,14,FALSE))</f>
        <v>#N/A</v>
      </c>
      <c r="C82" s="1257" t="e">
        <f>C81+(VLOOKUP($H$79,'DATOS &amp;'!$A$170:$N$181,13,FALSE))*C81+(VLOOKUP($H$79,'DATOS &amp;'!$A$170:$N$181,14,FALSE))</f>
        <v>#N/A</v>
      </c>
      <c r="D82" s="1257" t="e">
        <f>D81+(VLOOKUP($H$79,'DATOS &amp;'!$A$170:$N$181,13,FALSE))*D81+(VLOOKUP($H$79,'DATOS &amp;'!$A$170:$N$181,14,FALSE))</f>
        <v>#N/A</v>
      </c>
      <c r="E82" s="1257" t="e">
        <f>E81+(VLOOKUP($H$79,'DATOS &amp;'!$A$170:$N$181,13,FALSE))*E81+(VLOOKUP($H$79,'DATOS &amp;'!$A$170:$N$181,14,FALSE))</f>
        <v>#N/A</v>
      </c>
      <c r="F82" s="1257" t="e">
        <f>F81+(VLOOKUP($H$79,'DATOS &amp;'!$A$170:$N$181,13,FALSE))*F81+(VLOOKUP($H$79,'DATOS &amp;'!$A$170:$N$181,14,FALSE))</f>
        <v>#N/A</v>
      </c>
      <c r="G82" s="1258" t="s">
        <v>527</v>
      </c>
      <c r="H82" s="1140"/>
      <c r="I82" s="1138"/>
      <c r="J82" s="1138"/>
      <c r="K82" s="1145"/>
      <c r="L82" s="1138"/>
      <c r="M82" s="1138"/>
      <c r="N82" s="1145"/>
      <c r="O82" s="1146"/>
      <c r="P82" s="1147"/>
      <c r="Q82" s="1140"/>
      <c r="R82" s="1140"/>
    </row>
    <row r="83" spans="1:25" s="15" customFormat="1" ht="42" customHeight="1" thickBot="1" x14ac:dyDescent="0.3">
      <c r="A83" s="1252"/>
      <c r="B83" s="1259">
        <v>19.157</v>
      </c>
      <c r="C83" s="1259">
        <v>19.137</v>
      </c>
      <c r="D83" s="1259">
        <v>19.113</v>
      </c>
      <c r="E83" s="1259">
        <v>19.459</v>
      </c>
      <c r="F83" s="1259">
        <v>19.478999999999999</v>
      </c>
      <c r="G83" s="1258" t="s">
        <v>1</v>
      </c>
      <c r="H83" s="1140"/>
      <c r="I83" s="1138"/>
      <c r="J83" s="1138"/>
      <c r="K83" s="1145"/>
      <c r="L83" s="1138"/>
      <c r="M83" s="1138"/>
      <c r="N83" s="1145"/>
      <c r="O83" s="1146"/>
      <c r="P83" s="1147"/>
      <c r="Q83" s="1140"/>
      <c r="R83" s="1140"/>
    </row>
    <row r="84" spans="1:25" s="15" customFormat="1" ht="42" customHeight="1" thickBot="1" x14ac:dyDescent="0.3">
      <c r="A84" s="1252"/>
      <c r="B84" s="1260" t="e">
        <f>B83+(VLOOKUP($H$84,'DATOS &amp;'!$A$37:$N$50,13,FALSE))*B83+(VLOOKUP($H$84,'DATOS &amp;'!$A$37:$N$50,14,FALSE))</f>
        <v>#N/A</v>
      </c>
      <c r="C84" s="1260" t="e">
        <f>C83+(VLOOKUP($H$84,'DATOS &amp;'!$A$37:$N$50,13,FALSE))*C83+(VLOOKUP($H$84,'DATOS &amp;'!$A$37:$N$50,14,FALSE))</f>
        <v>#N/A</v>
      </c>
      <c r="D84" s="1260" t="e">
        <f>D83+(VLOOKUP($H$84,'DATOS &amp;'!$A$37:$N$50,13,FALSE))*D83+(VLOOKUP($H$84,'DATOS &amp;'!$A$37:$N$50,14,FALSE))</f>
        <v>#N/A</v>
      </c>
      <c r="E84" s="1260" t="e">
        <f>E83+(VLOOKUP($H$84,'DATOS &amp;'!$A$37:$N$50,13,FALSE))*E83+(VLOOKUP($H$84,'DATOS &amp;'!$A$37:$N$50,14,FALSE))</f>
        <v>#N/A</v>
      </c>
      <c r="F84" s="1260" t="e">
        <f>F83+(VLOOKUP($H$84,'DATOS &amp;'!$A$37:$N$50,13,FALSE))*F83+(VLOOKUP($H$84,'DATOS &amp;'!$A$37:$N$50,14,FALSE))</f>
        <v>#N/A</v>
      </c>
      <c r="G84" s="1258" t="s">
        <v>1</v>
      </c>
      <c r="H84" s="1133"/>
      <c r="I84" s="1138"/>
      <c r="J84" s="1138"/>
      <c r="K84" s="1145"/>
      <c r="L84" s="1138"/>
      <c r="M84" s="1138"/>
      <c r="N84" s="1145"/>
      <c r="O84" s="1146"/>
      <c r="P84" s="1147"/>
      <c r="Q84" s="1140"/>
      <c r="R84" s="1140"/>
    </row>
    <row r="85" spans="1:25" s="15" customFormat="1" ht="42" customHeight="1" x14ac:dyDescent="0.25">
      <c r="A85" s="1252"/>
      <c r="B85" s="1261" t="e">
        <f>C44</f>
        <v>#N/A</v>
      </c>
      <c r="C85" s="1261" t="e">
        <f>B85</f>
        <v>#N/A</v>
      </c>
      <c r="D85" s="1261" t="e">
        <f>B85</f>
        <v>#N/A</v>
      </c>
      <c r="E85" s="1261" t="e">
        <f>B85</f>
        <v>#N/A</v>
      </c>
      <c r="F85" s="1261" t="e">
        <f>B85</f>
        <v>#N/A</v>
      </c>
      <c r="G85" s="1258" t="s">
        <v>1</v>
      </c>
      <c r="H85" s="1140"/>
      <c r="I85" s="1138"/>
      <c r="J85" s="1138"/>
      <c r="K85" s="1145"/>
      <c r="L85" s="1138"/>
      <c r="M85" s="1138"/>
      <c r="N85" s="1145"/>
      <c r="O85" s="1146"/>
      <c r="P85" s="1147"/>
      <c r="Q85" s="1140"/>
      <c r="R85" s="1140"/>
    </row>
    <row r="86" spans="1:25" s="15" customFormat="1" ht="42" customHeight="1" x14ac:dyDescent="0.25">
      <c r="A86" s="1255" t="s">
        <v>595</v>
      </c>
      <c r="B86" s="1262">
        <v>30</v>
      </c>
      <c r="C86" s="1262">
        <v>30</v>
      </c>
      <c r="D86" s="1262">
        <v>30</v>
      </c>
      <c r="E86" s="1262">
        <v>30</v>
      </c>
      <c r="F86" s="1262">
        <v>30</v>
      </c>
      <c r="G86" s="1258" t="s">
        <v>104</v>
      </c>
      <c r="H86" s="1140"/>
      <c r="I86" s="1138"/>
      <c r="J86" s="1138"/>
      <c r="K86" s="1145"/>
      <c r="L86" s="1138"/>
      <c r="M86" s="1138"/>
      <c r="N86" s="1145"/>
      <c r="O86" s="1146"/>
      <c r="P86" s="1147"/>
      <c r="Q86" s="1140"/>
      <c r="R86" s="1140"/>
    </row>
    <row r="87" spans="1:25" s="15" customFormat="1" ht="42" customHeight="1" x14ac:dyDescent="0.25">
      <c r="A87" s="1255" t="s">
        <v>684</v>
      </c>
      <c r="B87" s="1262">
        <v>30</v>
      </c>
      <c r="C87" s="1262">
        <v>30</v>
      </c>
      <c r="D87" s="1262">
        <v>30</v>
      </c>
      <c r="E87" s="1262">
        <v>30</v>
      </c>
      <c r="F87" s="1262">
        <v>30</v>
      </c>
      <c r="G87" s="1258" t="s">
        <v>104</v>
      </c>
      <c r="H87" s="1140"/>
      <c r="I87" s="1138"/>
      <c r="J87" s="1138"/>
      <c r="K87" s="1145"/>
      <c r="L87" s="1138"/>
      <c r="M87" s="1138"/>
      <c r="N87" s="1145"/>
      <c r="O87" s="1146"/>
      <c r="P87" s="1147"/>
      <c r="Q87" s="1140"/>
      <c r="R87" s="1140"/>
    </row>
    <row r="88" spans="1:25" s="15" customFormat="1" ht="42" customHeight="1" x14ac:dyDescent="0.25">
      <c r="A88" s="1252"/>
      <c r="B88" s="1263" t="e">
        <f>B82-B80</f>
        <v>#N/A</v>
      </c>
      <c r="C88" s="1263" t="e">
        <f t="shared" ref="C88:F88" si="1">C82-C80</f>
        <v>#N/A</v>
      </c>
      <c r="D88" s="1263" t="e">
        <f t="shared" si="1"/>
        <v>#N/A</v>
      </c>
      <c r="E88" s="1263" t="e">
        <f t="shared" si="1"/>
        <v>#N/A</v>
      </c>
      <c r="F88" s="1263" t="e">
        <f t="shared" si="1"/>
        <v>#N/A</v>
      </c>
      <c r="G88" s="1264" t="s">
        <v>527</v>
      </c>
      <c r="H88" s="1142"/>
      <c r="I88" s="1142"/>
      <c r="J88" s="1140"/>
      <c r="K88" s="1140"/>
      <c r="L88" s="1140"/>
      <c r="M88" s="1140"/>
      <c r="N88" s="1140"/>
      <c r="O88" s="1140"/>
      <c r="P88" s="1140"/>
      <c r="Q88" s="1140"/>
      <c r="R88" s="1140"/>
    </row>
    <row r="89" spans="1:25" s="18" customFormat="1" ht="42" customHeight="1" x14ac:dyDescent="0.25">
      <c r="A89" s="1252"/>
      <c r="B89" s="1265" t="e">
        <f>1/(B74-B70)</f>
        <v>#N/A</v>
      </c>
      <c r="C89" s="1265" t="e">
        <f>1/(C74-C70)</f>
        <v>#N/A</v>
      </c>
      <c r="D89" s="1265" t="e">
        <f>1/(D74-D70)</f>
        <v>#N/A</v>
      </c>
      <c r="E89" s="1265" t="e">
        <f>1/(E74-E70)</f>
        <v>#N/A</v>
      </c>
      <c r="F89" s="1265" t="e">
        <f>1/(F74-F70)</f>
        <v>#N/A</v>
      </c>
      <c r="G89" s="1264" t="s">
        <v>685</v>
      </c>
      <c r="H89" s="1131"/>
      <c r="I89" s="1131"/>
      <c r="J89" s="1131"/>
      <c r="K89" s="1131"/>
      <c r="L89" s="1131"/>
      <c r="M89" s="1131"/>
      <c r="N89" s="1131"/>
      <c r="O89" s="1132"/>
      <c r="P89" s="1132"/>
      <c r="Q89" s="1139"/>
      <c r="R89" s="1139"/>
    </row>
    <row r="90" spans="1:25" s="16" customFormat="1" ht="42" customHeight="1" x14ac:dyDescent="0.25">
      <c r="A90" s="1252"/>
      <c r="B90" s="1265" t="e">
        <f>1-(B70/$C$7)</f>
        <v>#N/A</v>
      </c>
      <c r="C90" s="1265" t="e">
        <f t="shared" ref="C90:F90" si="2">1-(C70/$C$7)</f>
        <v>#N/A</v>
      </c>
      <c r="D90" s="1265" t="e">
        <f t="shared" si="2"/>
        <v>#N/A</v>
      </c>
      <c r="E90" s="1265" t="e">
        <f t="shared" si="2"/>
        <v>#N/A</v>
      </c>
      <c r="F90" s="1265" t="e">
        <f t="shared" si="2"/>
        <v>#N/A</v>
      </c>
      <c r="G90" s="1264" t="s">
        <v>685</v>
      </c>
      <c r="H90" s="1132"/>
      <c r="I90" s="1131"/>
      <c r="J90" s="1131"/>
      <c r="K90" s="1131"/>
      <c r="L90" s="1131"/>
      <c r="M90" s="1131"/>
      <c r="N90" s="1131"/>
      <c r="O90" s="1132"/>
      <c r="P90" s="1132"/>
      <c r="Q90" s="1139"/>
      <c r="R90" s="1139"/>
      <c r="S90" s="18"/>
      <c r="T90" s="18"/>
      <c r="U90" s="18"/>
      <c r="V90" s="18"/>
      <c r="W90" s="18"/>
      <c r="X90" s="18"/>
      <c r="Y90" s="18"/>
    </row>
    <row r="91" spans="1:25" s="15" customFormat="1" ht="42" customHeight="1" thickBot="1" x14ac:dyDescent="0.3">
      <c r="A91" s="1252"/>
      <c r="B91" s="1265" t="e">
        <f>1-$C$48*(B84-B85)</f>
        <v>#N/A</v>
      </c>
      <c r="C91" s="1265" t="e">
        <f t="shared" ref="C91:F91" si="3">1-$C$48*(C84-C85)</f>
        <v>#N/A</v>
      </c>
      <c r="D91" s="1265" t="e">
        <f t="shared" si="3"/>
        <v>#N/A</v>
      </c>
      <c r="E91" s="1265" t="e">
        <f t="shared" si="3"/>
        <v>#N/A</v>
      </c>
      <c r="F91" s="1265" t="e">
        <f t="shared" si="3"/>
        <v>#N/A</v>
      </c>
      <c r="G91" s="1266"/>
      <c r="H91" s="1132"/>
      <c r="I91" s="1144"/>
      <c r="J91" s="1144"/>
      <c r="K91" s="1144"/>
      <c r="L91" s="1144"/>
      <c r="M91" s="1144"/>
      <c r="N91" s="1144"/>
      <c r="O91" s="1149"/>
      <c r="P91" s="1132"/>
      <c r="Q91" s="1140"/>
      <c r="R91" s="1140"/>
    </row>
    <row r="92" spans="1:25" s="15" customFormat="1" ht="42" customHeight="1" thickBot="1" x14ac:dyDescent="0.4">
      <c r="A92" s="1254"/>
      <c r="B92" s="1267" t="e">
        <f>B88*B89*B90*B91</f>
        <v>#N/A</v>
      </c>
      <c r="C92" s="1267" t="e">
        <f t="shared" ref="C92:F92" si="4">C88*C89*C90*C91</f>
        <v>#N/A</v>
      </c>
      <c r="D92" s="1267" t="e">
        <f t="shared" si="4"/>
        <v>#N/A</v>
      </c>
      <c r="E92" s="1267" t="e">
        <f t="shared" si="4"/>
        <v>#N/A</v>
      </c>
      <c r="F92" s="1268" t="e">
        <f t="shared" si="4"/>
        <v>#N/A</v>
      </c>
      <c r="G92" s="1269" t="e">
        <f>AVERAGE(B92:F92)</f>
        <v>#N/A</v>
      </c>
      <c r="H92" s="1132" t="s">
        <v>2</v>
      </c>
      <c r="I92" s="1150"/>
      <c r="J92" s="1151"/>
      <c r="K92" s="1152"/>
      <c r="L92" s="1153"/>
      <c r="M92" s="1154"/>
      <c r="N92" s="1153"/>
      <c r="O92" s="1132"/>
      <c r="P92" s="1132"/>
      <c r="Q92" s="1140"/>
      <c r="R92" s="1140"/>
    </row>
    <row r="93" spans="1:25" s="15" customFormat="1" ht="30" customHeight="1" thickBot="1" x14ac:dyDescent="0.4">
      <c r="A93" s="1132"/>
      <c r="B93" s="1235"/>
      <c r="C93" s="1250"/>
      <c r="D93" s="1251"/>
      <c r="E93" s="1155"/>
      <c r="F93" s="1155"/>
      <c r="G93" s="1156" t="e">
        <f>G92/1000</f>
        <v>#N/A</v>
      </c>
      <c r="H93" s="1132" t="s">
        <v>466</v>
      </c>
      <c r="I93" s="1150"/>
      <c r="J93" s="1151"/>
      <c r="K93" s="1152"/>
      <c r="L93" s="1153"/>
      <c r="M93" s="1154"/>
      <c r="N93" s="1153"/>
      <c r="O93" s="1132"/>
      <c r="P93" s="1132"/>
      <c r="Q93" s="1140"/>
      <c r="R93" s="1140"/>
    </row>
    <row r="94" spans="1:25" s="15" customFormat="1" ht="30" customHeight="1" thickBot="1" x14ac:dyDescent="0.4">
      <c r="A94" s="1138"/>
      <c r="B94" s="1235"/>
      <c r="C94" s="1250"/>
      <c r="D94" s="1251"/>
      <c r="E94" s="1155"/>
      <c r="F94" s="1155"/>
      <c r="G94" s="1157" t="e">
        <f>G93/3.785412</f>
        <v>#N/A</v>
      </c>
      <c r="H94" s="1132" t="s">
        <v>6</v>
      </c>
      <c r="I94" s="1150"/>
      <c r="J94" s="1151"/>
      <c r="K94" s="1152"/>
      <c r="L94" s="1153"/>
      <c r="M94" s="1154"/>
      <c r="N94" s="1153"/>
      <c r="O94" s="1132"/>
      <c r="P94" s="1132"/>
      <c r="Q94" s="1140"/>
      <c r="R94" s="1140"/>
    </row>
    <row r="95" spans="1:25" s="15" customFormat="1" ht="33.75" customHeight="1" thickBot="1" x14ac:dyDescent="0.3">
      <c r="A95" s="1640" t="s">
        <v>53</v>
      </c>
      <c r="B95" s="1648"/>
      <c r="C95" s="1158"/>
      <c r="D95" s="1159"/>
      <c r="E95" s="1131"/>
      <c r="F95" s="1131"/>
      <c r="G95" s="1160"/>
      <c r="H95" s="1132"/>
      <c r="I95" s="1131"/>
      <c r="J95" s="1131"/>
      <c r="K95" s="1131"/>
      <c r="L95" s="1131"/>
      <c r="M95" s="1131"/>
      <c r="N95" s="1160"/>
      <c r="O95" s="1132"/>
      <c r="P95" s="1132"/>
      <c r="Q95" s="1140"/>
      <c r="R95" s="1140"/>
    </row>
    <row r="96" spans="1:25" s="15" customFormat="1" ht="45" customHeight="1" thickBot="1" x14ac:dyDescent="0.3">
      <c r="A96" s="1139"/>
      <c r="B96" s="1140"/>
      <c r="C96" s="1140"/>
      <c r="D96" s="1161"/>
      <c r="E96" s="1140"/>
      <c r="F96" s="1140"/>
      <c r="G96" s="1140"/>
      <c r="H96" s="1140"/>
      <c r="I96" s="1140"/>
      <c r="J96" s="1140"/>
      <c r="K96" s="1140"/>
      <c r="L96" s="1140"/>
      <c r="M96" s="1140"/>
      <c r="N96" s="1140"/>
      <c r="O96" s="1142"/>
      <c r="P96" s="1140"/>
      <c r="Q96" s="1140"/>
      <c r="R96" s="1140"/>
    </row>
    <row r="97" spans="1:22" s="15" customFormat="1" ht="45" customHeight="1" x14ac:dyDescent="0.25">
      <c r="A97" s="1162" t="s">
        <v>2</v>
      </c>
      <c r="B97" s="1649" t="s">
        <v>59</v>
      </c>
      <c r="C97" s="1163"/>
      <c r="D97" s="1164" t="e">
        <f>IF(D98&gt;=(A98)," AJUSTAR","NO AJUSTAR")</f>
        <v>#N/A</v>
      </c>
      <c r="E97" s="1165"/>
      <c r="F97" s="1140"/>
      <c r="G97" s="1140"/>
      <c r="H97" s="1140"/>
      <c r="I97" s="1140"/>
      <c r="J97" s="1140"/>
      <c r="K97" s="1140"/>
      <c r="L97" s="1140"/>
      <c r="M97" s="1140"/>
      <c r="N97" s="1140"/>
      <c r="O97" s="1140"/>
      <c r="P97" s="1140"/>
      <c r="Q97" s="1140"/>
      <c r="R97" s="1140"/>
    </row>
    <row r="98" spans="1:22" s="15" customFormat="1" ht="30" customHeight="1" thickBot="1" x14ac:dyDescent="0.3">
      <c r="A98" s="1166">
        <v>4.0967700000000002</v>
      </c>
      <c r="B98" s="1650"/>
      <c r="C98" s="1167"/>
      <c r="D98" s="1168" t="e">
        <f>G92-C52</f>
        <v>#N/A</v>
      </c>
      <c r="E98" s="1169"/>
      <c r="F98" s="1139"/>
      <c r="G98" s="1139"/>
      <c r="H98" s="1139"/>
      <c r="I98" s="1139"/>
      <c r="J98" s="1139"/>
      <c r="K98" s="1139"/>
      <c r="L98" s="1139"/>
      <c r="M98" s="1139"/>
      <c r="N98" s="1139"/>
      <c r="O98" s="1139"/>
      <c r="P98" s="1139"/>
      <c r="Q98" s="1139"/>
      <c r="R98" s="1139"/>
    </row>
    <row r="99" spans="1:22" s="15" customFormat="1" ht="30" customHeight="1" x14ac:dyDescent="0.25">
      <c r="A99" s="1170" t="s">
        <v>661</v>
      </c>
      <c r="B99" s="1649" t="s">
        <v>662</v>
      </c>
      <c r="C99" s="1167"/>
      <c r="D99" s="1164" t="e">
        <f>IF(D100&gt;=(A100)," AJUSTAR","NO AJUSTAR")</f>
        <v>#N/A</v>
      </c>
      <c r="E99" s="1169"/>
      <c r="F99" s="1140"/>
      <c r="G99" s="1140"/>
      <c r="H99" s="1142"/>
      <c r="I99" s="1140"/>
      <c r="J99" s="1140"/>
      <c r="K99" s="1140"/>
      <c r="L99" s="1140"/>
      <c r="M99" s="1140"/>
      <c r="N99" s="1142"/>
      <c r="O99" s="1142"/>
      <c r="P99" s="1142"/>
      <c r="Q99" s="1139"/>
      <c r="R99" s="1139"/>
    </row>
    <row r="100" spans="1:22" s="16" customFormat="1" ht="25.5" customHeight="1" thickBot="1" x14ac:dyDescent="0.3">
      <c r="A100" s="1171">
        <f>'DATOS &amp;'!AD115</f>
        <v>0.25</v>
      </c>
      <c r="B100" s="1650"/>
      <c r="C100" s="1172"/>
      <c r="D100" s="1173" t="e">
        <f>D98/16.38706</f>
        <v>#N/A</v>
      </c>
      <c r="E100" s="1174"/>
      <c r="F100" s="1142"/>
      <c r="G100" s="1142"/>
      <c r="H100" s="1142"/>
      <c r="I100" s="1142"/>
      <c r="J100" s="1142"/>
      <c r="K100" s="1142"/>
      <c r="L100" s="1142"/>
      <c r="M100" s="1142"/>
      <c r="N100" s="1142"/>
      <c r="O100" s="1142"/>
      <c r="P100" s="1142"/>
      <c r="Q100" s="1142"/>
      <c r="R100" s="1142"/>
    </row>
    <row r="101" spans="1:22" s="15" customFormat="1" ht="30" customHeight="1" thickBot="1" x14ac:dyDescent="0.3">
      <c r="A101" s="1132"/>
      <c r="B101" s="1132"/>
      <c r="C101" s="1132"/>
      <c r="D101" s="1132"/>
      <c r="E101" s="1673"/>
      <c r="F101" s="1673"/>
      <c r="G101" s="1673"/>
      <c r="H101" s="1673"/>
      <c r="I101" s="1673"/>
      <c r="J101" s="1673"/>
      <c r="K101" s="1673"/>
      <c r="L101" s="1673"/>
      <c r="M101" s="1139"/>
      <c r="N101" s="1139"/>
      <c r="O101" s="1139"/>
      <c r="P101" s="1139"/>
      <c r="Q101" s="1139"/>
      <c r="R101" s="1140"/>
    </row>
    <row r="102" spans="1:22" s="15" customFormat="1" ht="30" customHeight="1" thickBot="1" x14ac:dyDescent="0.3">
      <c r="A102" s="1656" t="s">
        <v>749</v>
      </c>
      <c r="B102" s="1656"/>
      <c r="C102" s="1656"/>
      <c r="D102" s="1656"/>
      <c r="E102" s="1656"/>
      <c r="F102" s="1656"/>
      <c r="G102" s="1656"/>
      <c r="H102" s="1656"/>
      <c r="I102" s="1657"/>
      <c r="J102" s="1138"/>
      <c r="K102" s="1138"/>
      <c r="L102" s="1138"/>
      <c r="M102" s="1139"/>
      <c r="N102" s="1140"/>
      <c r="O102" s="1140"/>
      <c r="P102" s="1140"/>
      <c r="Q102" s="1140"/>
      <c r="R102" s="1140"/>
      <c r="S102" s="581"/>
      <c r="U102" s="611"/>
      <c r="V102" s="250"/>
    </row>
    <row r="103" spans="1:22" s="15" customFormat="1" ht="30" customHeight="1" x14ac:dyDescent="0.25">
      <c r="A103" s="1175"/>
      <c r="B103" s="1175"/>
      <c r="C103" s="1175"/>
      <c r="D103" s="1175"/>
      <c r="E103" s="1175"/>
      <c r="F103" s="1175"/>
      <c r="G103" s="1175"/>
      <c r="H103" s="1175"/>
      <c r="I103" s="1176"/>
      <c r="J103" s="1144"/>
      <c r="K103" s="1177"/>
      <c r="L103" s="1138"/>
      <c r="M103" s="1142"/>
      <c r="N103" s="1140"/>
      <c r="O103" s="1140"/>
      <c r="P103" s="1140"/>
      <c r="Q103" s="1140"/>
      <c r="R103" s="1140"/>
      <c r="U103" s="612"/>
      <c r="V103" s="613"/>
    </row>
    <row r="104" spans="1:22" s="15" customFormat="1" ht="30" customHeight="1" x14ac:dyDescent="0.25">
      <c r="A104" s="1175"/>
      <c r="B104" s="1175"/>
      <c r="C104" s="1175"/>
      <c r="D104" s="1175"/>
      <c r="E104" s="1175"/>
      <c r="F104" s="1175"/>
      <c r="G104" s="1175"/>
      <c r="H104" s="1175"/>
      <c r="I104" s="1176"/>
      <c r="J104" s="1144"/>
      <c r="K104" s="1177"/>
      <c r="L104" s="1138"/>
      <c r="M104" s="1140"/>
      <c r="N104" s="1140"/>
      <c r="O104" s="1140"/>
      <c r="P104" s="1140"/>
      <c r="Q104" s="1140"/>
      <c r="R104" s="1140"/>
      <c r="U104" s="299"/>
    </row>
    <row r="105" spans="1:22" s="15" customFormat="1" ht="30" customHeight="1" thickBot="1" x14ac:dyDescent="0.3">
      <c r="A105" s="1178"/>
      <c r="B105" s="1179"/>
      <c r="C105" s="1179"/>
      <c r="D105" s="1179"/>
      <c r="E105" s="1179"/>
      <c r="F105" s="1179"/>
      <c r="G105" s="1179"/>
      <c r="H105" s="1179"/>
      <c r="I105" s="1180"/>
      <c r="J105" s="1144"/>
      <c r="K105" s="1177"/>
      <c r="L105" s="1138"/>
      <c r="M105" s="1140"/>
      <c r="N105" s="1140"/>
      <c r="O105" s="1140"/>
      <c r="P105" s="1140"/>
      <c r="Q105" s="1140"/>
      <c r="R105" s="1140"/>
    </row>
    <row r="106" spans="1:22" s="15" customFormat="1" ht="30" customHeight="1" x14ac:dyDescent="0.25">
      <c r="A106" s="1132"/>
      <c r="B106" s="1132"/>
      <c r="C106" s="1132"/>
      <c r="D106" s="1132"/>
      <c r="E106" s="1131"/>
      <c r="F106" s="1131"/>
      <c r="G106" s="1131"/>
      <c r="H106" s="1181"/>
      <c r="I106" s="1132"/>
      <c r="J106" s="1144"/>
      <c r="K106" s="1177"/>
      <c r="L106" s="1138"/>
      <c r="M106" s="1140"/>
      <c r="N106" s="1140"/>
      <c r="O106" s="1140"/>
      <c r="P106" s="1140"/>
      <c r="Q106" s="1140"/>
      <c r="R106" s="1140"/>
      <c r="T106" s="299"/>
    </row>
    <row r="107" spans="1:22" s="15" customFormat="1" ht="30" customHeight="1" thickBot="1" x14ac:dyDescent="0.3">
      <c r="A107" s="1132"/>
      <c r="B107" s="1132"/>
      <c r="C107" s="1132"/>
      <c r="D107" s="1132"/>
      <c r="E107" s="1673"/>
      <c r="F107" s="1673"/>
      <c r="G107" s="1673"/>
      <c r="H107" s="1181"/>
      <c r="I107" s="1132"/>
      <c r="J107" s="1132"/>
      <c r="K107" s="1132"/>
      <c r="L107" s="1132"/>
      <c r="M107" s="1140"/>
      <c r="N107" s="1140"/>
      <c r="O107" s="1140"/>
      <c r="P107" s="1140"/>
      <c r="Q107" s="1140"/>
      <c r="R107" s="1140"/>
    </row>
    <row r="108" spans="1:22" s="15" customFormat="1" ht="30" customHeight="1" x14ac:dyDescent="0.25">
      <c r="A108" s="1727" t="s">
        <v>596</v>
      </c>
      <c r="B108" s="1728"/>
      <c r="C108" s="1728"/>
      <c r="D108" s="1728"/>
      <c r="E108" s="1728"/>
      <c r="F108" s="1728"/>
      <c r="G108" s="1728"/>
      <c r="H108" s="1728"/>
      <c r="I108" s="1728"/>
      <c r="J108" s="1728"/>
      <c r="K108" s="1728"/>
      <c r="L108" s="1728"/>
      <c r="M108" s="1728"/>
      <c r="N108" s="1728"/>
      <c r="O108" s="1728"/>
      <c r="P108" s="1729"/>
      <c r="Q108" s="1139"/>
      <c r="R108" s="1139"/>
    </row>
    <row r="109" spans="1:22" s="15" customFormat="1" ht="30" customHeight="1" thickBot="1" x14ac:dyDescent="0.3">
      <c r="A109" s="1730"/>
      <c r="B109" s="1731"/>
      <c r="C109" s="1731"/>
      <c r="D109" s="1731"/>
      <c r="E109" s="1731"/>
      <c r="F109" s="1731"/>
      <c r="G109" s="1731"/>
      <c r="H109" s="1731"/>
      <c r="I109" s="1731"/>
      <c r="J109" s="1731"/>
      <c r="K109" s="1731"/>
      <c r="L109" s="1731"/>
      <c r="M109" s="1731"/>
      <c r="N109" s="1731"/>
      <c r="O109" s="1731"/>
      <c r="P109" s="1732"/>
      <c r="Q109" s="1139"/>
      <c r="R109" s="1139"/>
    </row>
    <row r="110" spans="1:22" s="16" customFormat="1" ht="51" customHeight="1" thickBot="1" x14ac:dyDescent="0.3">
      <c r="A110" s="1272" t="s">
        <v>157</v>
      </c>
      <c r="B110" s="1299" t="s">
        <v>158</v>
      </c>
      <c r="C110" s="1300" t="s">
        <v>597</v>
      </c>
      <c r="D110" s="1748" t="s">
        <v>159</v>
      </c>
      <c r="E110" s="1749"/>
      <c r="F110" s="1300" t="s">
        <v>598</v>
      </c>
      <c r="G110" s="1301" t="s">
        <v>351</v>
      </c>
      <c r="H110" s="1748" t="s">
        <v>712</v>
      </c>
      <c r="I110" s="1749"/>
      <c r="J110" s="1748" t="s">
        <v>688</v>
      </c>
      <c r="K110" s="1749"/>
      <c r="L110" s="1748" t="s">
        <v>689</v>
      </c>
      <c r="M110" s="1749"/>
      <c r="N110" s="1300" t="s">
        <v>690</v>
      </c>
      <c r="O110" s="1299" t="s">
        <v>691</v>
      </c>
      <c r="P110" s="1272" t="s">
        <v>603</v>
      </c>
      <c r="Q110" s="1139"/>
      <c r="R110" s="1139"/>
    </row>
    <row r="111" spans="1:22" s="15" customFormat="1" ht="33" customHeight="1" x14ac:dyDescent="0.2">
      <c r="A111" s="1273" t="s">
        <v>686</v>
      </c>
      <c r="B111" s="1302"/>
      <c r="C111" s="1303"/>
      <c r="D111" s="1303"/>
      <c r="E111" s="1303"/>
      <c r="F111" s="1303"/>
      <c r="G111" s="1303"/>
      <c r="H111" s="1303"/>
      <c r="I111" s="1303"/>
      <c r="J111" s="1303"/>
      <c r="K111" s="1303"/>
      <c r="L111" s="1304"/>
      <c r="M111" s="1303"/>
      <c r="N111" s="1303"/>
      <c r="O111" s="1305"/>
      <c r="P111" s="1306" t="e">
        <f>SUM(P112:P124)</f>
        <v>#N/A</v>
      </c>
      <c r="Q111" s="1139"/>
      <c r="R111" s="1139"/>
    </row>
    <row r="112" spans="1:22" s="15" customFormat="1" ht="33" customHeight="1" x14ac:dyDescent="0.25">
      <c r="A112" s="1274" t="s">
        <v>698</v>
      </c>
      <c r="B112" s="1307">
        <v>0</v>
      </c>
      <c r="C112" s="1308" t="s">
        <v>699</v>
      </c>
      <c r="D112" s="1309" t="e">
        <f>0.00024*B126</f>
        <v>#N/A</v>
      </c>
      <c r="E112" s="1308">
        <v>1</v>
      </c>
      <c r="F112" s="1308" t="s">
        <v>748</v>
      </c>
      <c r="G112" s="1310">
        <v>1</v>
      </c>
      <c r="H112" s="1311" t="e">
        <f>D112/G112</f>
        <v>#N/A</v>
      </c>
      <c r="I112" s="1308" t="s">
        <v>692</v>
      </c>
      <c r="J112" s="1308">
        <v>1</v>
      </c>
      <c r="K112" s="1308" t="s">
        <v>692</v>
      </c>
      <c r="L112" s="1312" t="e">
        <f>H112*J112</f>
        <v>#N/A</v>
      </c>
      <c r="M112" s="1308" t="s">
        <v>692</v>
      </c>
      <c r="N112" s="1313" t="e">
        <f>L112^2</f>
        <v>#N/A</v>
      </c>
      <c r="O112" s="1314">
        <f>0.5*(100%-95%)^-2</f>
        <v>199.99999999999966</v>
      </c>
      <c r="P112" s="1315" t="e">
        <f>(L112/$N$125)^2</f>
        <v>#N/A</v>
      </c>
      <c r="Q112" s="1139"/>
      <c r="R112" s="1139"/>
    </row>
    <row r="113" spans="1:18" s="15" customFormat="1" ht="33" customHeight="1" x14ac:dyDescent="0.25">
      <c r="A113" s="1284" t="s">
        <v>599</v>
      </c>
      <c r="B113" s="1316" t="e">
        <f>AVERAGE(B64:F64)</f>
        <v>#N/A</v>
      </c>
      <c r="C113" s="1317"/>
      <c r="D113" s="1317"/>
      <c r="E113" s="1317"/>
      <c r="F113" s="1317"/>
      <c r="G113" s="1317"/>
      <c r="H113" s="1318"/>
      <c r="I113" s="1317"/>
      <c r="J113" s="1317"/>
      <c r="K113" s="1317"/>
      <c r="L113" s="1319"/>
      <c r="M113" s="1317"/>
      <c r="N113" s="1317"/>
      <c r="O113" s="1320"/>
      <c r="P113" s="1320"/>
      <c r="Q113" s="1139"/>
      <c r="R113" s="1139"/>
    </row>
    <row r="114" spans="1:18" s="16" customFormat="1" ht="33" customHeight="1" x14ac:dyDescent="0.25">
      <c r="A114" s="1274" t="s">
        <v>700</v>
      </c>
      <c r="B114" s="1321">
        <v>0</v>
      </c>
      <c r="C114" s="1308" t="s">
        <v>701</v>
      </c>
      <c r="D114" s="1322" t="e">
        <f>MAX(I23:I25)</f>
        <v>#N/A</v>
      </c>
      <c r="E114" s="1308" t="s">
        <v>1</v>
      </c>
      <c r="F114" s="1323" t="s">
        <v>747</v>
      </c>
      <c r="G114" s="1310" t="e">
        <f>O23</f>
        <v>#N/A</v>
      </c>
      <c r="H114" s="1324" t="e">
        <f t="shared" ref="H114:H124" si="5">D114/G114</f>
        <v>#N/A</v>
      </c>
      <c r="I114" s="1308" t="s">
        <v>1</v>
      </c>
      <c r="J114" s="1325" t="e">
        <f>-((0.009 * B117) * (EXP(0.061 * B113) * 0.061)/(273.15 + B113) +
    (0.34848 * B121 - ((0.009 * B117) * EXP(0.061 * B113)))/(273.15 +
        B113)^2)</f>
        <v>#N/A</v>
      </c>
      <c r="K114" s="1308" t="s">
        <v>693</v>
      </c>
      <c r="L114" s="1312" t="e">
        <f>H114*J114</f>
        <v>#N/A</v>
      </c>
      <c r="M114" s="1308" t="s">
        <v>692</v>
      </c>
      <c r="N114" s="1313" t="e">
        <f>L114^2</f>
        <v>#N/A</v>
      </c>
      <c r="O114" s="1314">
        <f>0.5*(100%-95.45%)^-2</f>
        <v>241.5167250332087</v>
      </c>
      <c r="P114" s="1326" t="e">
        <f t="shared" ref="P114:P124" si="6">(L114/$N$125)^2</f>
        <v>#N/A</v>
      </c>
      <c r="Q114" s="1142"/>
      <c r="R114" s="1142"/>
    </row>
    <row r="115" spans="1:18" s="15" customFormat="1" ht="33" customHeight="1" x14ac:dyDescent="0.25">
      <c r="A115" s="1274" t="s">
        <v>702</v>
      </c>
      <c r="B115" s="1321">
        <v>0</v>
      </c>
      <c r="C115" s="1308" t="s">
        <v>739</v>
      </c>
      <c r="D115" s="1322" t="e">
        <f>E23</f>
        <v>#N/A</v>
      </c>
      <c r="E115" s="1308" t="s">
        <v>1</v>
      </c>
      <c r="F115" s="1323" t="s">
        <v>3</v>
      </c>
      <c r="G115" s="1327">
        <f>SQRT(12)</f>
        <v>3.4641016151377544</v>
      </c>
      <c r="H115" s="1311" t="e">
        <f t="shared" si="5"/>
        <v>#N/A</v>
      </c>
      <c r="I115" s="1308" t="s">
        <v>1</v>
      </c>
      <c r="J115" s="1325" t="e">
        <f>-((0.009 * B117) * (EXP(0.061 * B113) * 0.061)/(273.15 + B113) +
    (0.34848 * B121 - ((0.009 * B117) * EXP(0.061 * B113)))/(273.15 +
        B113)^2)</f>
        <v>#N/A</v>
      </c>
      <c r="K115" s="1308" t="s">
        <v>693</v>
      </c>
      <c r="L115" s="1312" t="e">
        <f>H115*J115</f>
        <v>#N/A</v>
      </c>
      <c r="M115" s="1308" t="s">
        <v>692</v>
      </c>
      <c r="N115" s="1313" t="e">
        <f t="shared" ref="N115:N123" si="7">L115^2</f>
        <v>#N/A</v>
      </c>
      <c r="O115" s="1328">
        <f>0.5*(100%-90%)^-2</f>
        <v>50.000000000000028</v>
      </c>
      <c r="P115" s="1326" t="e">
        <f t="shared" si="6"/>
        <v>#N/A</v>
      </c>
      <c r="Q115" s="1140"/>
      <c r="R115" s="1139"/>
    </row>
    <row r="116" spans="1:18" s="18" customFormat="1" ht="33" customHeight="1" x14ac:dyDescent="0.25">
      <c r="A116" s="1274" t="s">
        <v>703</v>
      </c>
      <c r="B116" s="1307">
        <v>0</v>
      </c>
      <c r="C116" s="1308" t="s">
        <v>600</v>
      </c>
      <c r="D116" s="1322">
        <v>0</v>
      </c>
      <c r="E116" s="1308" t="s">
        <v>1</v>
      </c>
      <c r="F116" s="1323" t="s">
        <v>3</v>
      </c>
      <c r="G116" s="1327">
        <f>SQRT(12)</f>
        <v>3.4641016151377544</v>
      </c>
      <c r="H116" s="1324">
        <f t="shared" si="5"/>
        <v>0</v>
      </c>
      <c r="I116" s="1308" t="s">
        <v>1</v>
      </c>
      <c r="J116" s="1325" t="e">
        <f>-((0.009 * B117) * (EXP(0.061 * B113) * 0.061)/(273.15 + B113) +
    (0.34848 * B121 - ((0.009 * B117) * EXP(0.061 * B113)))/(273.15 +
        B113)^2)</f>
        <v>#N/A</v>
      </c>
      <c r="K116" s="1308" t="s">
        <v>693</v>
      </c>
      <c r="L116" s="1312" t="e">
        <f>H116*J116</f>
        <v>#N/A</v>
      </c>
      <c r="M116" s="1308" t="s">
        <v>692</v>
      </c>
      <c r="N116" s="1313" t="e">
        <f>L116^2</f>
        <v>#N/A</v>
      </c>
      <c r="O116" s="1328">
        <f>0.5*(100%-90%)^-2</f>
        <v>50.000000000000028</v>
      </c>
      <c r="P116" s="1329" t="e">
        <f t="shared" si="6"/>
        <v>#N/A</v>
      </c>
      <c r="Q116" s="1139"/>
      <c r="R116" s="1139"/>
    </row>
    <row r="117" spans="1:18" s="15" customFormat="1" ht="33" customHeight="1" x14ac:dyDescent="0.25">
      <c r="A117" s="1284" t="s">
        <v>593</v>
      </c>
      <c r="B117" s="1316" t="e">
        <f>AVERAGE(B65:F65)</f>
        <v>#N/A</v>
      </c>
      <c r="C117" s="1317"/>
      <c r="D117" s="1317"/>
      <c r="E117" s="1317"/>
      <c r="F117" s="1317"/>
      <c r="G117" s="1317"/>
      <c r="H117" s="1318"/>
      <c r="I117" s="1317"/>
      <c r="J117" s="1317"/>
      <c r="K117" s="1317"/>
      <c r="L117" s="1319"/>
      <c r="M117" s="1317"/>
      <c r="N117" s="1330"/>
      <c r="O117" s="1320"/>
      <c r="P117" s="1320"/>
      <c r="Q117" s="1139"/>
      <c r="R117" s="1139"/>
    </row>
    <row r="118" spans="1:18" s="18" customFormat="1" ht="33" customHeight="1" x14ac:dyDescent="0.25">
      <c r="A118" s="1274" t="s">
        <v>705</v>
      </c>
      <c r="B118" s="1307">
        <v>0</v>
      </c>
      <c r="C118" s="1308" t="s">
        <v>701</v>
      </c>
      <c r="D118" s="1322" t="e">
        <f>MAX(I26:I28)</f>
        <v>#N/A</v>
      </c>
      <c r="E118" s="1308" t="s">
        <v>209</v>
      </c>
      <c r="F118" s="1323" t="s">
        <v>747</v>
      </c>
      <c r="G118" s="1310" t="e">
        <f>O26</f>
        <v>#N/A</v>
      </c>
      <c r="H118" s="1324" t="e">
        <f t="shared" si="5"/>
        <v>#N/A</v>
      </c>
      <c r="I118" s="1308" t="s">
        <v>209</v>
      </c>
      <c r="J118" s="1325" t="e">
        <f>-(0.009 * EXP(0.061 * B113)/(273.15 + B113))</f>
        <v>#N/A</v>
      </c>
      <c r="K118" s="1308" t="s">
        <v>694</v>
      </c>
      <c r="L118" s="1312" t="e">
        <f>H118*J118</f>
        <v>#N/A</v>
      </c>
      <c r="M118" s="1308" t="s">
        <v>692</v>
      </c>
      <c r="N118" s="1313" t="e">
        <f t="shared" si="7"/>
        <v>#N/A</v>
      </c>
      <c r="O118" s="1314">
        <f>0.5*(100%-95.45%)^-2</f>
        <v>241.5167250332087</v>
      </c>
      <c r="P118" s="1326" t="e">
        <f t="shared" si="6"/>
        <v>#N/A</v>
      </c>
      <c r="Q118" s="1139"/>
      <c r="R118" s="1139"/>
    </row>
    <row r="119" spans="1:18" s="15" customFormat="1" ht="33" customHeight="1" x14ac:dyDescent="0.25">
      <c r="A119" s="1274" t="s">
        <v>706</v>
      </c>
      <c r="B119" s="1307">
        <v>0</v>
      </c>
      <c r="C119" s="1308" t="s">
        <v>739</v>
      </c>
      <c r="D119" s="1322" t="e">
        <f>E26</f>
        <v>#N/A</v>
      </c>
      <c r="E119" s="1308" t="s">
        <v>209</v>
      </c>
      <c r="F119" s="1323" t="s">
        <v>3</v>
      </c>
      <c r="G119" s="1327">
        <f>SQRT(12)</f>
        <v>3.4641016151377544</v>
      </c>
      <c r="H119" s="1325" t="e">
        <f t="shared" si="5"/>
        <v>#N/A</v>
      </c>
      <c r="I119" s="1308" t="s">
        <v>209</v>
      </c>
      <c r="J119" s="1325" t="e">
        <f>-(0.009 * EXP(0.061 * B113)/(273.15 + B113))</f>
        <v>#N/A</v>
      </c>
      <c r="K119" s="1308" t="s">
        <v>694</v>
      </c>
      <c r="L119" s="1312" t="e">
        <f>H119*J119</f>
        <v>#N/A</v>
      </c>
      <c r="M119" s="1308" t="s">
        <v>692</v>
      </c>
      <c r="N119" s="1313" t="e">
        <f t="shared" si="7"/>
        <v>#N/A</v>
      </c>
      <c r="O119" s="1328">
        <f>0.5*(100%-90%)^-2</f>
        <v>50.000000000000028</v>
      </c>
      <c r="P119" s="1331" t="e">
        <f t="shared" si="6"/>
        <v>#N/A</v>
      </c>
      <c r="Q119" s="1139"/>
      <c r="R119" s="1139"/>
    </row>
    <row r="120" spans="1:18" s="18" customFormat="1" ht="33" customHeight="1" x14ac:dyDescent="0.25">
      <c r="A120" s="1274" t="s">
        <v>707</v>
      </c>
      <c r="B120" s="1307">
        <v>0</v>
      </c>
      <c r="C120" s="1308" t="s">
        <v>600</v>
      </c>
      <c r="D120" s="1322">
        <v>0</v>
      </c>
      <c r="E120" s="1308" t="s">
        <v>209</v>
      </c>
      <c r="F120" s="1323" t="s">
        <v>3</v>
      </c>
      <c r="G120" s="1327">
        <f>SQRT(12)</f>
        <v>3.4641016151377544</v>
      </c>
      <c r="H120" s="1324">
        <f t="shared" si="5"/>
        <v>0</v>
      </c>
      <c r="I120" s="1308" t="s">
        <v>209</v>
      </c>
      <c r="J120" s="1325" t="e">
        <f>-(0.009 * EXP(0.061 * B113)/(273.15 + B113))</f>
        <v>#N/A</v>
      </c>
      <c r="K120" s="1308" t="s">
        <v>694</v>
      </c>
      <c r="L120" s="1312" t="e">
        <f>H120*J120</f>
        <v>#N/A</v>
      </c>
      <c r="M120" s="1308" t="s">
        <v>692</v>
      </c>
      <c r="N120" s="1313" t="e">
        <f t="shared" si="7"/>
        <v>#N/A</v>
      </c>
      <c r="O120" s="1328">
        <f>0.5*(100%-90%)^-2</f>
        <v>50.000000000000028</v>
      </c>
      <c r="P120" s="1329" t="e">
        <f t="shared" si="6"/>
        <v>#N/A</v>
      </c>
      <c r="Q120" s="1139"/>
      <c r="R120" s="1139"/>
    </row>
    <row r="121" spans="1:18" s="15" customFormat="1" ht="33" customHeight="1" x14ac:dyDescent="0.25">
      <c r="A121" s="1284" t="s">
        <v>708</v>
      </c>
      <c r="B121" s="1316" t="e">
        <f>AVERAGE(B66:F66)</f>
        <v>#N/A</v>
      </c>
      <c r="C121" s="1317"/>
      <c r="D121" s="1317"/>
      <c r="E121" s="1317"/>
      <c r="F121" s="1317"/>
      <c r="G121" s="1317"/>
      <c r="H121" s="1318"/>
      <c r="I121" s="1317"/>
      <c r="J121" s="1317"/>
      <c r="K121" s="1317"/>
      <c r="L121" s="1319"/>
      <c r="M121" s="1317"/>
      <c r="N121" s="1330"/>
      <c r="O121" s="1320"/>
      <c r="P121" s="1320"/>
      <c r="Q121" s="1139"/>
      <c r="R121" s="1139"/>
    </row>
    <row r="122" spans="1:18" s="18" customFormat="1" ht="33" customHeight="1" x14ac:dyDescent="0.25">
      <c r="A122" s="1274" t="s">
        <v>709</v>
      </c>
      <c r="B122" s="1307">
        <v>0</v>
      </c>
      <c r="C122" s="1308" t="s">
        <v>701</v>
      </c>
      <c r="D122" s="1332" t="e">
        <f>MAX(I29:I31)</f>
        <v>#N/A</v>
      </c>
      <c r="E122" s="1308" t="s">
        <v>12</v>
      </c>
      <c r="F122" s="1323" t="s">
        <v>747</v>
      </c>
      <c r="G122" s="1310" t="e">
        <f>O29</f>
        <v>#N/A</v>
      </c>
      <c r="H122" s="1332" t="e">
        <f t="shared" si="5"/>
        <v>#N/A</v>
      </c>
      <c r="I122" s="1308" t="s">
        <v>12</v>
      </c>
      <c r="J122" s="1313" t="e">
        <f>0.34848/(273.15 + B113)</f>
        <v>#N/A</v>
      </c>
      <c r="K122" s="1308" t="s">
        <v>695</v>
      </c>
      <c r="L122" s="1312" t="e">
        <f>H122*J122</f>
        <v>#N/A</v>
      </c>
      <c r="M122" s="1308" t="s">
        <v>692</v>
      </c>
      <c r="N122" s="1313" t="e">
        <f t="shared" si="7"/>
        <v>#N/A</v>
      </c>
      <c r="O122" s="1314">
        <f>0.5*(100%-95.45%)^-2</f>
        <v>241.5167250332087</v>
      </c>
      <c r="P122" s="1326" t="e">
        <f t="shared" si="6"/>
        <v>#N/A</v>
      </c>
      <c r="Q122" s="1139"/>
      <c r="R122" s="1139"/>
    </row>
    <row r="123" spans="1:18" s="15" customFormat="1" ht="33" customHeight="1" x14ac:dyDescent="0.25">
      <c r="A123" s="1274" t="s">
        <v>710</v>
      </c>
      <c r="B123" s="1307">
        <v>0</v>
      </c>
      <c r="C123" s="1308" t="s">
        <v>739</v>
      </c>
      <c r="D123" s="1322" t="e">
        <f>E29</f>
        <v>#N/A</v>
      </c>
      <c r="E123" s="1308" t="s">
        <v>12</v>
      </c>
      <c r="F123" s="1323" t="s">
        <v>3</v>
      </c>
      <c r="G123" s="1327">
        <f>SQRT(12)</f>
        <v>3.4641016151377544</v>
      </c>
      <c r="H123" s="1312" t="e">
        <f t="shared" si="5"/>
        <v>#N/A</v>
      </c>
      <c r="I123" s="1308" t="s">
        <v>12</v>
      </c>
      <c r="J123" s="1313" t="e">
        <f>0.34848/(273.15 + B113)</f>
        <v>#N/A</v>
      </c>
      <c r="K123" s="1308" t="s">
        <v>695</v>
      </c>
      <c r="L123" s="1312" t="e">
        <f>H123*J123</f>
        <v>#N/A</v>
      </c>
      <c r="M123" s="1308" t="s">
        <v>692</v>
      </c>
      <c r="N123" s="1313" t="e">
        <f t="shared" si="7"/>
        <v>#N/A</v>
      </c>
      <c r="O123" s="1328">
        <f>0.5*(100%-90%)^-2</f>
        <v>50.000000000000028</v>
      </c>
      <c r="P123" s="1329" t="e">
        <f t="shared" si="6"/>
        <v>#N/A</v>
      </c>
      <c r="Q123" s="1139"/>
      <c r="R123" s="1139"/>
    </row>
    <row r="124" spans="1:18" s="18" customFormat="1" ht="33" customHeight="1" thickBot="1" x14ac:dyDescent="0.3">
      <c r="A124" s="1275" t="s">
        <v>711</v>
      </c>
      <c r="B124" s="1333">
        <v>0</v>
      </c>
      <c r="C124" s="1334" t="s">
        <v>600</v>
      </c>
      <c r="D124" s="1335">
        <v>0</v>
      </c>
      <c r="E124" s="1334" t="s">
        <v>12</v>
      </c>
      <c r="F124" s="1323" t="s">
        <v>3</v>
      </c>
      <c r="G124" s="1336">
        <f>SQRT(12)</f>
        <v>3.4641016151377544</v>
      </c>
      <c r="H124" s="1336">
        <f t="shared" si="5"/>
        <v>0</v>
      </c>
      <c r="I124" s="1334" t="s">
        <v>12</v>
      </c>
      <c r="J124" s="1337" t="e">
        <f>0.34848/(273.15 + B113)</f>
        <v>#N/A</v>
      </c>
      <c r="K124" s="1334" t="s">
        <v>695</v>
      </c>
      <c r="L124" s="1338" t="e">
        <f>H124*J124</f>
        <v>#N/A</v>
      </c>
      <c r="M124" s="1334" t="s">
        <v>692</v>
      </c>
      <c r="N124" s="1337" t="e">
        <f>L124^2</f>
        <v>#N/A</v>
      </c>
      <c r="O124" s="1339">
        <f>0.5*(100%-90%)^-2</f>
        <v>50.000000000000028</v>
      </c>
      <c r="P124" s="1340" t="e">
        <f t="shared" si="6"/>
        <v>#N/A</v>
      </c>
      <c r="Q124" s="1139"/>
      <c r="R124" s="1139"/>
    </row>
    <row r="125" spans="1:18" s="15" customFormat="1" ht="33" customHeight="1" thickBot="1" x14ac:dyDescent="0.3">
      <c r="A125" s="1276" t="s">
        <v>687</v>
      </c>
      <c r="B125" s="1341" t="e">
        <f>(0.34848*B121-((0.009*B117)*EXP(0.061*B113)))/(273.15+B113)</f>
        <v>#N/A</v>
      </c>
      <c r="C125" s="1342"/>
      <c r="D125" s="1342"/>
      <c r="E125" s="1342"/>
      <c r="F125" s="1342"/>
      <c r="G125" s="1342"/>
      <c r="H125" s="1342"/>
      <c r="I125" s="1342"/>
      <c r="J125" s="1342"/>
      <c r="K125" s="1343"/>
      <c r="L125" s="1658" t="s">
        <v>696</v>
      </c>
      <c r="M125" s="1659"/>
      <c r="N125" s="1455" t="e">
        <f>SQRT(N112+N114+N115+N118+N119+N122+N123+N116+N120+N124)</f>
        <v>#N/A</v>
      </c>
      <c r="O125" s="1456" t="s">
        <v>697</v>
      </c>
      <c r="P125" s="1132"/>
      <c r="Q125" s="1139"/>
      <c r="R125" s="1139"/>
    </row>
    <row r="126" spans="1:18" s="18" customFormat="1" ht="33" customHeight="1" thickBot="1" x14ac:dyDescent="0.3">
      <c r="A126" s="1276" t="s">
        <v>686</v>
      </c>
      <c r="B126" s="1344" t="e">
        <f>B125/1000</f>
        <v>#N/A</v>
      </c>
      <c r="C126" s="1345"/>
      <c r="D126" s="1346"/>
      <c r="E126" s="1345"/>
      <c r="F126" s="1345"/>
      <c r="G126" s="1345"/>
      <c r="H126" s="1346"/>
      <c r="I126" s="1346"/>
      <c r="J126" s="1345"/>
      <c r="K126" s="1345"/>
      <c r="L126" s="1658" t="s">
        <v>751</v>
      </c>
      <c r="M126" s="1659"/>
      <c r="N126" s="1420" t="e">
        <f>N125^4/((L112^4/O112)+(L114^4/O114)+(L115^4/O115)+(L118^4/O118)+(L119^4/O119)+(L122^4/O122)+(L123^4/O123)+(L116^4/O116)+(L120^4/O120)+(L124^4/O124))</f>
        <v>#N/A</v>
      </c>
      <c r="O126" s="1421" t="e">
        <f>_xlfn.T.INV.2T(0.045,N126)</f>
        <v>#N/A</v>
      </c>
      <c r="P126" s="1177"/>
      <c r="Q126" s="1139"/>
      <c r="R126" s="1139"/>
    </row>
    <row r="127" spans="1:18" s="15" customFormat="1" ht="33" customHeight="1" thickBot="1" x14ac:dyDescent="0.3">
      <c r="A127" s="1188"/>
      <c r="B127" s="1189"/>
      <c r="C127" s="1190"/>
      <c r="D127" s="1190"/>
      <c r="E127" s="1190"/>
      <c r="F127" s="1190"/>
      <c r="G127" s="1190"/>
      <c r="H127" s="1190"/>
      <c r="I127" s="1190"/>
      <c r="J127" s="1190"/>
      <c r="K127" s="1186"/>
      <c r="L127" s="1658" t="s">
        <v>602</v>
      </c>
      <c r="M127" s="1659"/>
      <c r="N127" s="1457" t="e">
        <f>N125*O126</f>
        <v>#N/A</v>
      </c>
      <c r="O127" s="1458" t="s">
        <v>697</v>
      </c>
      <c r="P127" s="1132"/>
      <c r="Q127" s="1139"/>
      <c r="R127" s="1139"/>
    </row>
    <row r="128" spans="1:18" s="18" customFormat="1" ht="33" customHeight="1" thickBot="1" x14ac:dyDescent="0.3">
      <c r="A128" s="1187"/>
      <c r="B128" s="1187"/>
      <c r="C128" s="1190"/>
      <c r="D128" s="1190"/>
      <c r="E128" s="1190"/>
      <c r="F128" s="1190"/>
      <c r="G128" s="1190"/>
      <c r="H128" s="1190"/>
      <c r="I128" s="1190"/>
      <c r="J128" s="1190"/>
      <c r="K128" s="1186"/>
      <c r="L128" s="1658" t="s">
        <v>696</v>
      </c>
      <c r="M128" s="1659"/>
      <c r="N128" s="1459" t="e">
        <f>N125/1000</f>
        <v>#N/A</v>
      </c>
      <c r="O128" s="1458" t="s">
        <v>750</v>
      </c>
      <c r="P128" s="1146"/>
      <c r="Q128" s="1139"/>
      <c r="R128" s="1139"/>
    </row>
    <row r="129" spans="1:18" s="15" customFormat="1" ht="33" customHeight="1" x14ac:dyDescent="0.25">
      <c r="A129" s="1142"/>
      <c r="B129" s="1132"/>
      <c r="C129" s="1132"/>
      <c r="D129" s="1132"/>
      <c r="E129" s="1191"/>
      <c r="F129" s="1191"/>
      <c r="G129" s="1132"/>
      <c r="H129" s="1132"/>
      <c r="I129" s="1132"/>
      <c r="J129" s="1132"/>
      <c r="K129" s="1132"/>
      <c r="L129" s="1192"/>
      <c r="M129" s="1138"/>
      <c r="N129" s="1132"/>
      <c r="O129" s="1132"/>
      <c r="P129" s="1132"/>
      <c r="Q129" s="1139"/>
      <c r="R129" s="1139"/>
    </row>
    <row r="130" spans="1:18" s="18" customFormat="1" ht="33" customHeight="1" x14ac:dyDescent="0.25">
      <c r="A130" s="1142"/>
      <c r="B130" s="1660"/>
      <c r="C130" s="1660"/>
      <c r="D130" s="1660"/>
      <c r="E130" s="1191"/>
      <c r="F130" s="1191"/>
      <c r="G130" s="1132"/>
      <c r="H130" s="1132"/>
      <c r="I130" s="1132"/>
      <c r="J130" s="1132"/>
      <c r="K130" s="1154"/>
      <c r="L130" s="1193"/>
      <c r="M130" s="1138"/>
      <c r="N130" s="1132"/>
      <c r="O130" s="1132"/>
      <c r="P130" s="1132"/>
      <c r="Q130" s="1139"/>
      <c r="R130" s="1139"/>
    </row>
    <row r="131" spans="1:18" s="18" customFormat="1" ht="33" customHeight="1" thickBot="1" x14ac:dyDescent="0.3">
      <c r="A131" s="1142"/>
      <c r="B131" s="1132"/>
      <c r="C131" s="1132"/>
      <c r="D131" s="1132"/>
      <c r="E131" s="1132"/>
      <c r="F131" s="1132"/>
      <c r="G131" s="1132"/>
      <c r="H131" s="1132"/>
      <c r="I131" s="1132"/>
      <c r="J131" s="1132"/>
      <c r="K131" s="1132"/>
      <c r="L131" s="1194"/>
      <c r="M131" s="1138"/>
      <c r="N131" s="1138"/>
      <c r="O131" s="1132"/>
      <c r="P131" s="1132"/>
      <c r="Q131" s="1139"/>
      <c r="R131" s="1139"/>
    </row>
    <row r="132" spans="1:18" s="16" customFormat="1" ht="33" customHeight="1" x14ac:dyDescent="0.25">
      <c r="A132" s="1727" t="s">
        <v>604</v>
      </c>
      <c r="B132" s="1728"/>
      <c r="C132" s="1728"/>
      <c r="D132" s="1728"/>
      <c r="E132" s="1728"/>
      <c r="F132" s="1728"/>
      <c r="G132" s="1728"/>
      <c r="H132" s="1728"/>
      <c r="I132" s="1728"/>
      <c r="J132" s="1728"/>
      <c r="K132" s="1728"/>
      <c r="L132" s="1728"/>
      <c r="M132" s="1728"/>
      <c r="N132" s="1728"/>
      <c r="O132" s="1728"/>
      <c r="P132" s="1729"/>
      <c r="Q132" s="1142"/>
      <c r="R132" s="1142"/>
    </row>
    <row r="133" spans="1:18" s="16" customFormat="1" ht="33" customHeight="1" thickBot="1" x14ac:dyDescent="0.3">
      <c r="A133" s="1730"/>
      <c r="B133" s="1731"/>
      <c r="C133" s="1731"/>
      <c r="D133" s="1731"/>
      <c r="E133" s="1731"/>
      <c r="F133" s="1731"/>
      <c r="G133" s="1731"/>
      <c r="H133" s="1731"/>
      <c r="I133" s="1731"/>
      <c r="J133" s="1731"/>
      <c r="K133" s="1731"/>
      <c r="L133" s="1731"/>
      <c r="M133" s="1731"/>
      <c r="N133" s="1731"/>
      <c r="O133" s="1731"/>
      <c r="P133" s="1732"/>
      <c r="Q133" s="1142"/>
      <c r="R133" s="1142"/>
    </row>
    <row r="134" spans="1:18" s="16" customFormat="1" ht="33" customHeight="1" thickBot="1" x14ac:dyDescent="0.3">
      <c r="A134" s="1300" t="s">
        <v>157</v>
      </c>
      <c r="B134" s="1299" t="s">
        <v>158</v>
      </c>
      <c r="C134" s="1300" t="s">
        <v>597</v>
      </c>
      <c r="D134" s="1744" t="s">
        <v>159</v>
      </c>
      <c r="E134" s="1745"/>
      <c r="F134" s="1300" t="s">
        <v>598</v>
      </c>
      <c r="G134" s="1301" t="s">
        <v>351</v>
      </c>
      <c r="H134" s="1744" t="s">
        <v>712</v>
      </c>
      <c r="I134" s="1745"/>
      <c r="J134" s="1746" t="s">
        <v>688</v>
      </c>
      <c r="K134" s="1746"/>
      <c r="L134" s="1744" t="s">
        <v>689</v>
      </c>
      <c r="M134" s="1745"/>
      <c r="N134" s="1300" t="s">
        <v>690</v>
      </c>
      <c r="O134" s="1299" t="s">
        <v>691</v>
      </c>
      <c r="P134" s="1272" t="s">
        <v>612</v>
      </c>
      <c r="Q134" s="1142"/>
      <c r="R134" s="1142"/>
    </row>
    <row r="135" spans="1:18" s="16" customFormat="1" ht="33" customHeight="1" x14ac:dyDescent="0.25">
      <c r="A135" s="1427" t="s">
        <v>735</v>
      </c>
      <c r="B135" s="1460"/>
      <c r="C135" s="1461"/>
      <c r="D135" s="1462"/>
      <c r="E135" s="1461"/>
      <c r="F135" s="1461"/>
      <c r="G135" s="1461"/>
      <c r="H135" s="1461"/>
      <c r="I135" s="1461"/>
      <c r="J135" s="1461"/>
      <c r="K135" s="1461"/>
      <c r="L135" s="1463"/>
      <c r="M135" s="1461"/>
      <c r="N135" s="1461"/>
      <c r="O135" s="1464"/>
      <c r="P135" s="1306" t="e">
        <f>SUM(P136:P146)</f>
        <v>#N/A</v>
      </c>
      <c r="Q135" s="1142"/>
      <c r="R135" s="1142"/>
    </row>
    <row r="136" spans="1:18" s="16" customFormat="1" ht="33" customHeight="1" x14ac:dyDescent="0.25">
      <c r="A136" s="1428" t="s">
        <v>605</v>
      </c>
      <c r="B136" s="1277">
        <v>0</v>
      </c>
      <c r="C136" s="1432" t="s">
        <v>606</v>
      </c>
      <c r="D136" s="1449" t="e">
        <f>SQRT(SUMSQ(H140:H142))*(((-0.1176*B139^2)+(15.846*B139)-62.677)*0.000001)*B147</f>
        <v>#N/A</v>
      </c>
      <c r="E136" s="1355" t="s">
        <v>738</v>
      </c>
      <c r="F136" s="1278" t="s">
        <v>748</v>
      </c>
      <c r="G136" s="1287">
        <v>1</v>
      </c>
      <c r="H136" s="1281" t="e">
        <f>D136/G136</f>
        <v>#N/A</v>
      </c>
      <c r="I136" s="1278" t="s">
        <v>738</v>
      </c>
      <c r="J136" s="1278">
        <v>1</v>
      </c>
      <c r="K136" s="1278" t="s">
        <v>738</v>
      </c>
      <c r="L136" s="1281" t="e">
        <f>H136*J136</f>
        <v>#N/A</v>
      </c>
      <c r="M136" s="1278" t="s">
        <v>738</v>
      </c>
      <c r="N136" s="1281" t="e">
        <f>L136^2</f>
        <v>#N/A</v>
      </c>
      <c r="O136" s="1282">
        <f>0.5*(100%-93%)^-2</f>
        <v>102.04081632653076</v>
      </c>
      <c r="P136" s="1288" t="e">
        <f>(L136/$N$147)^2</f>
        <v>#N/A</v>
      </c>
      <c r="Q136" s="1142"/>
      <c r="R136" s="1142"/>
    </row>
    <row r="137" spans="1:18" s="16" customFormat="1" ht="33" customHeight="1" x14ac:dyDescent="0.25">
      <c r="A137" s="1428" t="s">
        <v>713</v>
      </c>
      <c r="B137" s="1277">
        <v>0</v>
      </c>
      <c r="C137" s="1432" t="s">
        <v>607</v>
      </c>
      <c r="D137" s="1449" t="e">
        <f>E32</f>
        <v>#N/A</v>
      </c>
      <c r="E137" s="1355" t="s">
        <v>738</v>
      </c>
      <c r="F137" s="1278" t="s">
        <v>748</v>
      </c>
      <c r="G137" s="1289">
        <f>SQRT(12)</f>
        <v>3.4641016151377544</v>
      </c>
      <c r="H137" s="1281" t="e">
        <f t="shared" ref="H137:H138" si="8">D137/G137</f>
        <v>#N/A</v>
      </c>
      <c r="I137" s="1278" t="s">
        <v>738</v>
      </c>
      <c r="J137" s="1278">
        <v>1</v>
      </c>
      <c r="K137" s="1278" t="s">
        <v>738</v>
      </c>
      <c r="L137" s="1281" t="e">
        <f>H137*J137</f>
        <v>#N/A</v>
      </c>
      <c r="M137" s="1278" t="s">
        <v>738</v>
      </c>
      <c r="N137" s="1281" t="e">
        <f>L137^2</f>
        <v>#N/A</v>
      </c>
      <c r="O137" s="1282">
        <f>0.5*(100%-93%)^-2</f>
        <v>102.04081632653076</v>
      </c>
      <c r="P137" s="1288" t="e">
        <f t="shared" ref="P137:P146" si="9">(L137/$N$147)^2</f>
        <v>#N/A</v>
      </c>
      <c r="Q137" s="1142"/>
      <c r="R137" s="1142"/>
    </row>
    <row r="138" spans="1:18" s="16" customFormat="1" ht="33" customHeight="1" x14ac:dyDescent="0.25">
      <c r="A138" s="1428" t="s">
        <v>698</v>
      </c>
      <c r="B138" s="1277">
        <v>0</v>
      </c>
      <c r="C138" s="1432" t="s">
        <v>608</v>
      </c>
      <c r="D138" s="1449" t="e">
        <f>I32</f>
        <v>#N/A</v>
      </c>
      <c r="E138" s="1355" t="s">
        <v>738</v>
      </c>
      <c r="F138" s="1278" t="s">
        <v>748</v>
      </c>
      <c r="G138" s="1279">
        <v>1</v>
      </c>
      <c r="H138" s="1281" t="e">
        <f t="shared" si="8"/>
        <v>#N/A</v>
      </c>
      <c r="I138" s="1278" t="s">
        <v>738</v>
      </c>
      <c r="J138" s="1278">
        <v>1</v>
      </c>
      <c r="K138" s="1278" t="s">
        <v>738</v>
      </c>
      <c r="L138" s="1281" t="e">
        <f>H138*J138</f>
        <v>#N/A</v>
      </c>
      <c r="M138" s="1278" t="s">
        <v>738</v>
      </c>
      <c r="N138" s="1281" t="e">
        <f>L138^2</f>
        <v>#N/A</v>
      </c>
      <c r="O138" s="1282">
        <f>0.5*(100%-93%)^-2</f>
        <v>102.04081632653076</v>
      </c>
      <c r="P138" s="1433" t="e">
        <f t="shared" si="9"/>
        <v>#N/A</v>
      </c>
      <c r="Q138" s="1142"/>
      <c r="R138" s="1142"/>
    </row>
    <row r="139" spans="1:18" s="16" customFormat="1" ht="33" customHeight="1" x14ac:dyDescent="0.25">
      <c r="A139" s="1429" t="s">
        <v>609</v>
      </c>
      <c r="B139" s="1434" t="e">
        <f>AVERAGE(B84:F84)</f>
        <v>#N/A</v>
      </c>
      <c r="C139" s="1285"/>
      <c r="D139" s="1435"/>
      <c r="E139" s="1285"/>
      <c r="F139" s="1285"/>
      <c r="G139" s="1285"/>
      <c r="H139" s="1285"/>
      <c r="I139" s="1285"/>
      <c r="J139" s="1285"/>
      <c r="K139" s="1285"/>
      <c r="L139" s="1290"/>
      <c r="M139" s="1285"/>
      <c r="N139" s="1285"/>
      <c r="O139" s="1436"/>
      <c r="P139" s="1436"/>
      <c r="Q139" s="1142"/>
      <c r="R139" s="1142"/>
    </row>
    <row r="140" spans="1:18" s="16" customFormat="1" ht="33" customHeight="1" x14ac:dyDescent="0.25">
      <c r="A140" s="1428" t="s">
        <v>700</v>
      </c>
      <c r="B140" s="1277">
        <v>0</v>
      </c>
      <c r="C140" s="1278" t="s">
        <v>701</v>
      </c>
      <c r="D140" s="1292" t="e">
        <f>MAX(I8:I12)</f>
        <v>#N/A</v>
      </c>
      <c r="E140" s="1278" t="s">
        <v>1</v>
      </c>
      <c r="F140" s="1287" t="s">
        <v>747</v>
      </c>
      <c r="G140" s="1279" t="e">
        <f>O8</f>
        <v>#N/A</v>
      </c>
      <c r="H140" s="1278" t="e">
        <f>D140/G140</f>
        <v>#N/A</v>
      </c>
      <c r="I140" s="1278" t="s">
        <v>1</v>
      </c>
      <c r="J140" s="1278" t="e">
        <f>((999.972 * (1 - ((((B139) + -3.983035)^2 * ((B139) + 301.797))/(522528.9 *
    ((B139) + 69.34881))))) * (((-0.00000000000326) + 0.0000000000000416 * (2 *
    (B139))) * (((B143) * 100) - 101325)) - 999.972 * ((2 * ((B139) +
    -3.983035) * ((B139) + 301.797) + ((B139) + -3.983035)^2)/(522528.9 *
    ((B139) + 69.34881)) - (((B139) + -3.983035)^2 * ((B139) +
    301.797)) * 522528.9/(522528.9 * ((B139) + 69.34881))^2) *
    (1 + ((0.0000000005074 + (-0.00000000000326) * (B139) + 0.0000000000000416 * (B139)^2) *
        (((B143) * 100) - 101325))) + 0.000106)/1000</f>
        <v>#N/A</v>
      </c>
      <c r="K140" s="1278" t="s">
        <v>743</v>
      </c>
      <c r="L140" s="1281" t="e">
        <f>H140*J140</f>
        <v>#N/A</v>
      </c>
      <c r="M140" s="1278" t="s">
        <v>738</v>
      </c>
      <c r="N140" s="1281" t="e">
        <f>L140^2</f>
        <v>#N/A</v>
      </c>
      <c r="O140" s="1282">
        <f>0.5*(100%-95%)^-2</f>
        <v>199.99999999999966</v>
      </c>
      <c r="P140" s="1288" t="e">
        <f t="shared" si="9"/>
        <v>#N/A</v>
      </c>
      <c r="Q140" s="1142"/>
      <c r="R140" s="1142"/>
    </row>
    <row r="141" spans="1:18" s="16" customFormat="1" ht="33" customHeight="1" x14ac:dyDescent="0.25">
      <c r="A141" s="1428" t="s">
        <v>736</v>
      </c>
      <c r="B141" s="1437">
        <v>0</v>
      </c>
      <c r="C141" s="1278" t="s">
        <v>740</v>
      </c>
      <c r="D141" s="1292" t="e">
        <f>E8</f>
        <v>#N/A</v>
      </c>
      <c r="E141" s="1278" t="s">
        <v>1</v>
      </c>
      <c r="F141" s="1287" t="s">
        <v>3</v>
      </c>
      <c r="G141" s="1289">
        <f>SQRT(12)</f>
        <v>3.4641016151377544</v>
      </c>
      <c r="H141" s="1278" t="e">
        <f t="shared" ref="H141:H142" si="10">D141/G141</f>
        <v>#N/A</v>
      </c>
      <c r="I141" s="1278" t="s">
        <v>1</v>
      </c>
      <c r="J141" s="1278" t="e">
        <f>((999.972 * (1 - ((((B139) + -3.983035)^2 * ((B139) + 301.797))/(522528.9 *
    ((B139) + 69.34881))))) * (((-0.00000000000326) + 0.0000000000000416 * (2 *
    (B139))) * (((B143) * 100) - 101325)) - 999.972 * ((2 * ((B139) +
    -3.983035) * ((B139) + 301.797) + ((B139) + -3.983035)^2)/(522528.9 *
    ((B139) + 69.34881)) - (((B139) + -3.983035)^2 * ((B139) +
    301.797)) * 522528.9/(522528.9 * ((B139) + 69.34881))^2) *
    (1 + ((0.0000000005074 + (-0.00000000000326) * (B139) + 0.0000000000000416 * (B139)^2) *
        (((B143) * 100) - 101325))) + 0.000106)/1000</f>
        <v>#N/A</v>
      </c>
      <c r="K141" s="1278" t="s">
        <v>743</v>
      </c>
      <c r="L141" s="1281" t="e">
        <f>H141*J141</f>
        <v>#N/A</v>
      </c>
      <c r="M141" s="1278" t="s">
        <v>738</v>
      </c>
      <c r="N141" s="1281" t="e">
        <f t="shared" ref="N141:N146" si="11">L141^2</f>
        <v>#N/A</v>
      </c>
      <c r="O141" s="1282">
        <f>0.5*(100%-93%)^-2</f>
        <v>102.04081632653076</v>
      </c>
      <c r="P141" s="1291" t="e">
        <f t="shared" si="9"/>
        <v>#N/A</v>
      </c>
      <c r="Q141" s="1142"/>
      <c r="R141" s="1142"/>
    </row>
    <row r="142" spans="1:18" s="16" customFormat="1" ht="33" customHeight="1" x14ac:dyDescent="0.25">
      <c r="A142" s="1428" t="s">
        <v>703</v>
      </c>
      <c r="B142" s="1277">
        <v>0</v>
      </c>
      <c r="C142" s="1278" t="s">
        <v>741</v>
      </c>
      <c r="D142" s="1438">
        <f>'DATOS &amp;'!R42</f>
        <v>3.0000000000001137E-3</v>
      </c>
      <c r="E142" s="1278" t="s">
        <v>1</v>
      </c>
      <c r="F142" s="1287" t="s">
        <v>3</v>
      </c>
      <c r="G142" s="1289">
        <f>SQRT(12)</f>
        <v>3.4641016151377544</v>
      </c>
      <c r="H142" s="1278">
        <f t="shared" si="10"/>
        <v>8.6602540378447155E-4</v>
      </c>
      <c r="I142" s="1278" t="s">
        <v>1</v>
      </c>
      <c r="J142" s="1278" t="e">
        <f>((999.972 * (1 - ((((B139) + -3.983035)^2 * ((B139) + 301.797))/(522528.9 *
    ((B139) + 69.34881))))) * (((-0.00000000000326) + 0.0000000000000416 * (2 *
    (B139))) * (((B143) * 100) - 101325)) - 999.972 * ((2 * ((B139) +
    -3.983035) * ((B139) + 301.797) + ((B139) + -3.983035)^2)/(522528.9 *
    ((B139) + 69.34881)) - (((B139) + -3.983035)^2 * ((B139) +
    301.797)) * 522528.9/(522528.9 * ((B139) + 69.34881))^2) *
    (1 + ((0.0000000005074 + (-0.00000000000326) * (B139) + 0.0000000000000416 * (B139)^2) *
        (((B143) * 100) - 101325))) + 0.000106)/1000</f>
        <v>#N/A</v>
      </c>
      <c r="K142" s="1278" t="s">
        <v>743</v>
      </c>
      <c r="L142" s="1281" t="e">
        <f>H142*J142</f>
        <v>#N/A</v>
      </c>
      <c r="M142" s="1278" t="s">
        <v>738</v>
      </c>
      <c r="N142" s="1281" t="e">
        <f t="shared" si="11"/>
        <v>#N/A</v>
      </c>
      <c r="O142" s="1282">
        <f>0.5*(100%-93%)^-2</f>
        <v>102.04081632653076</v>
      </c>
      <c r="P142" s="1439" t="e">
        <f t="shared" si="9"/>
        <v>#N/A</v>
      </c>
      <c r="Q142" s="1142"/>
      <c r="R142" s="1142"/>
    </row>
    <row r="143" spans="1:18" s="16" customFormat="1" ht="33" customHeight="1" x14ac:dyDescent="0.25">
      <c r="A143" s="1429" t="s">
        <v>708</v>
      </c>
      <c r="B143" s="1440" t="e">
        <f>AVERAGE(B66:F66)</f>
        <v>#N/A</v>
      </c>
      <c r="C143" s="1285"/>
      <c r="D143" s="1285"/>
      <c r="E143" s="1285"/>
      <c r="F143" s="1285"/>
      <c r="G143" s="1285"/>
      <c r="H143" s="1285"/>
      <c r="I143" s="1285"/>
      <c r="J143" s="1285"/>
      <c r="K143" s="1285"/>
      <c r="L143" s="1290"/>
      <c r="M143" s="1285"/>
      <c r="N143" s="1290"/>
      <c r="O143" s="1436"/>
      <c r="P143" s="1436"/>
      <c r="Q143" s="1142"/>
      <c r="R143" s="1142"/>
    </row>
    <row r="144" spans="1:18" s="16" customFormat="1" ht="33" customHeight="1" x14ac:dyDescent="0.25">
      <c r="A144" s="1428" t="s">
        <v>709</v>
      </c>
      <c r="B144" s="1277">
        <v>0</v>
      </c>
      <c r="C144" s="1278" t="s">
        <v>701</v>
      </c>
      <c r="D144" s="1292" t="e">
        <f>MAX(I29:I31)</f>
        <v>#N/A</v>
      </c>
      <c r="E144" s="1278" t="s">
        <v>12</v>
      </c>
      <c r="F144" s="1287" t="s">
        <v>747</v>
      </c>
      <c r="G144" s="1279" t="e">
        <f>O29</f>
        <v>#N/A</v>
      </c>
      <c r="H144" s="1278" t="e">
        <f>D144/G144</f>
        <v>#N/A</v>
      </c>
      <c r="I144" s="1278" t="s">
        <v>12</v>
      </c>
      <c r="J144" s="1280" t="e">
        <f>(999.972 * (1 - ((((B139) + -3.983035)^2 * ((B139) + 301.797))/(522528.9 *
    ((B139) + 69.34881))))) * ((0.0000000005074 + (-0.00000000000326) * (B139) +
    0.0000000000000416 * (B139)^2) * 100)/1000</f>
        <v>#N/A</v>
      </c>
      <c r="K144" s="1278" t="s">
        <v>744</v>
      </c>
      <c r="L144" s="1281" t="e">
        <f>H144*J144</f>
        <v>#N/A</v>
      </c>
      <c r="M144" s="1278" t="s">
        <v>738</v>
      </c>
      <c r="N144" s="1281" t="e">
        <f t="shared" si="11"/>
        <v>#N/A</v>
      </c>
      <c r="O144" s="1282">
        <f>0.5*(100%-95%)^-2</f>
        <v>199.99999999999966</v>
      </c>
      <c r="P144" s="1283" t="e">
        <f t="shared" si="9"/>
        <v>#N/A</v>
      </c>
      <c r="Q144" s="1142"/>
      <c r="R144" s="1142"/>
    </row>
    <row r="145" spans="1:18" s="16" customFormat="1" ht="33" customHeight="1" x14ac:dyDescent="0.25">
      <c r="A145" s="1428" t="s">
        <v>737</v>
      </c>
      <c r="B145" s="1277">
        <v>0</v>
      </c>
      <c r="C145" s="1278" t="s">
        <v>742</v>
      </c>
      <c r="D145" s="1286" t="e">
        <f>E29</f>
        <v>#N/A</v>
      </c>
      <c r="E145" s="1278" t="s">
        <v>12</v>
      </c>
      <c r="F145" s="1287" t="s">
        <v>3</v>
      </c>
      <c r="G145" s="1289">
        <f>SQRT(12)</f>
        <v>3.4641016151377544</v>
      </c>
      <c r="H145" s="1278" t="e">
        <f t="shared" ref="H145:H146" si="12">D145/G145</f>
        <v>#N/A</v>
      </c>
      <c r="I145" s="1278" t="s">
        <v>12</v>
      </c>
      <c r="J145" s="1280" t="e">
        <f>(999.972 * (1 - ((((B139) + -3.983035)^2 * ((B139) + 301.797))/(522528.9 *
    ((B139) + 69.34881))))) * ((0.0000000005074 + (-0.00000000000326) * (B139) +
    0.0000000000000416 * (B139)^2) * 100)/1000</f>
        <v>#N/A</v>
      </c>
      <c r="K145" s="1278" t="s">
        <v>744</v>
      </c>
      <c r="L145" s="1281" t="e">
        <f>H145*J145</f>
        <v>#N/A</v>
      </c>
      <c r="M145" s="1278" t="s">
        <v>738</v>
      </c>
      <c r="N145" s="1281" t="e">
        <f t="shared" si="11"/>
        <v>#N/A</v>
      </c>
      <c r="O145" s="1282">
        <f>0.5*(100%-93%)^-2</f>
        <v>102.04081632653076</v>
      </c>
      <c r="P145" s="1441" t="e">
        <f t="shared" si="9"/>
        <v>#N/A</v>
      </c>
      <c r="Q145" s="1142"/>
      <c r="R145" s="1142"/>
    </row>
    <row r="146" spans="1:18" s="16" customFormat="1" ht="33" customHeight="1" thickBot="1" x14ac:dyDescent="0.3">
      <c r="A146" s="1430" t="s">
        <v>711</v>
      </c>
      <c r="B146" s="1293">
        <v>0</v>
      </c>
      <c r="C146" s="1295" t="s">
        <v>741</v>
      </c>
      <c r="D146" s="1294">
        <v>0</v>
      </c>
      <c r="E146" s="1295" t="s">
        <v>12</v>
      </c>
      <c r="F146" s="1287" t="s">
        <v>3</v>
      </c>
      <c r="G146" s="1296">
        <f>SQRT(12)</f>
        <v>3.4641016151377544</v>
      </c>
      <c r="H146" s="1296">
        <f t="shared" si="12"/>
        <v>0</v>
      </c>
      <c r="I146" s="1295" t="s">
        <v>12</v>
      </c>
      <c r="J146" s="1442" t="e">
        <f>(999.972 * (1 - ((((B139) + -3.983035)^2 * ((B139) + 301.797))/(522528.9 *
    ((B139) + 69.34881))))) * ((0.0000000005074 + (-0.00000000000326) * (B139) +
    0.0000000000000416 * (B139)^2) * 100)/1000</f>
        <v>#N/A</v>
      </c>
      <c r="K146" s="1295" t="s">
        <v>744</v>
      </c>
      <c r="L146" s="1297" t="e">
        <f>H146*J146</f>
        <v>#N/A</v>
      </c>
      <c r="M146" s="1295" t="s">
        <v>738</v>
      </c>
      <c r="N146" s="1297" t="e">
        <f t="shared" si="11"/>
        <v>#N/A</v>
      </c>
      <c r="O146" s="1443">
        <f>0.5*(100%-93%)^-2</f>
        <v>102.04081632653076</v>
      </c>
      <c r="P146" s="1298" t="e">
        <f t="shared" si="9"/>
        <v>#N/A</v>
      </c>
      <c r="Q146" s="1142"/>
      <c r="R146" s="1142"/>
    </row>
    <row r="147" spans="1:18" s="16" customFormat="1" ht="39.950000000000003" customHeight="1" thickBot="1" x14ac:dyDescent="0.3">
      <c r="A147" s="1431" t="s">
        <v>735</v>
      </c>
      <c r="B147" s="1444" t="e">
        <f>(((999.972*(1-((((B139)+-3.983035)^2*((B139)+301.797))/(522528.9*((B139)+69.34881)))))*(1+((0.0000000005074+(-0.00000000000326)*(B139)+0.0000000000000416*(B139)^2)*(((B143)*100)-101325))))+(-0.004612+(0.000106*(B139))))/1000</f>
        <v>#N/A</v>
      </c>
      <c r="C147" s="1445"/>
      <c r="D147" s="1445"/>
      <c r="E147" s="1445"/>
      <c r="F147" s="1445"/>
      <c r="G147" s="1445"/>
      <c r="H147" s="1445"/>
      <c r="I147" s="1445"/>
      <c r="J147" s="1445"/>
      <c r="K147" s="1445"/>
      <c r="L147" s="1747" t="s">
        <v>745</v>
      </c>
      <c r="M147" s="1747"/>
      <c r="N147" s="1450" t="e">
        <f>SQRT(N136+N137+N138+N140+N141+N142+N144+N145+N146)</f>
        <v>#N/A</v>
      </c>
      <c r="O147" s="1451" t="s">
        <v>746</v>
      </c>
      <c r="P147" s="1446"/>
      <c r="Q147" s="1142"/>
      <c r="R147" s="1142"/>
    </row>
    <row r="148" spans="1:18" s="16" customFormat="1" ht="39.950000000000003" customHeight="1" thickBot="1" x14ac:dyDescent="0.3">
      <c r="A148" s="1196"/>
      <c r="B148" s="1447"/>
      <c r="C148" s="1448"/>
      <c r="D148" s="1448"/>
      <c r="E148" s="1448"/>
      <c r="F148" s="1448"/>
      <c r="G148" s="1448"/>
      <c r="H148" s="1448"/>
      <c r="I148" s="1448"/>
      <c r="J148" s="1448"/>
      <c r="K148" s="1448"/>
      <c r="L148" s="1726" t="s">
        <v>601</v>
      </c>
      <c r="M148" s="1726"/>
      <c r="N148" s="1452" t="e">
        <f>N147^4/((L140^4/O140)+(L141^4/O141)+(L142^4/O142)+(L144^4/O144)+(L145^4/O145)+(L146^4/O146)+(L138^4/O138)+(L137^4/O137)+(L136^4/O136))</f>
        <v>#N/A</v>
      </c>
      <c r="O148" s="1453" t="e">
        <f>_xlfn.T.INV.2T(0.045,N148)</f>
        <v>#N/A</v>
      </c>
      <c r="P148" s="1446"/>
      <c r="Q148" s="1142"/>
      <c r="R148" s="1142"/>
    </row>
    <row r="149" spans="1:18" s="16" customFormat="1" ht="39.950000000000003" customHeight="1" thickBot="1" x14ac:dyDescent="0.3">
      <c r="A149" s="1196"/>
      <c r="B149" s="1447"/>
      <c r="C149" s="1448"/>
      <c r="D149" s="1448"/>
      <c r="E149" s="1448"/>
      <c r="F149" s="1448"/>
      <c r="G149" s="1448"/>
      <c r="H149" s="1448"/>
      <c r="I149" s="1448"/>
      <c r="J149" s="1448"/>
      <c r="K149" s="1448"/>
      <c r="L149" s="1661" t="s">
        <v>643</v>
      </c>
      <c r="M149" s="1662"/>
      <c r="N149" s="1454" t="e">
        <f>N147*O148</f>
        <v>#N/A</v>
      </c>
      <c r="O149" s="1451" t="s">
        <v>746</v>
      </c>
      <c r="P149" s="1446"/>
      <c r="Q149" s="1142"/>
      <c r="R149" s="1142"/>
    </row>
    <row r="150" spans="1:18" s="16" customFormat="1" ht="39.950000000000003" customHeight="1" x14ac:dyDescent="0.25">
      <c r="A150" s="1196"/>
      <c r="B150" s="1197"/>
      <c r="C150" s="1187"/>
      <c r="D150" s="1187"/>
      <c r="E150" s="1187"/>
      <c r="F150" s="1187"/>
      <c r="G150" s="1187"/>
      <c r="H150" s="1187"/>
      <c r="I150" s="1187"/>
      <c r="J150" s="1187"/>
      <c r="K150" s="1187"/>
      <c r="L150" s="1198"/>
      <c r="M150" s="1198"/>
      <c r="N150" s="1199"/>
      <c r="O150" s="1200"/>
      <c r="P150" s="1195"/>
      <c r="Q150" s="1142"/>
      <c r="R150" s="1142"/>
    </row>
    <row r="151" spans="1:18" s="16" customFormat="1" ht="39.950000000000003" customHeight="1" x14ac:dyDescent="0.25">
      <c r="A151" s="1663" t="s">
        <v>642</v>
      </c>
      <c r="B151" s="1664"/>
      <c r="C151" s="1664"/>
      <c r="D151" s="1664"/>
      <c r="E151" s="1664"/>
      <c r="F151" s="1664"/>
      <c r="G151" s="1664"/>
      <c r="H151" s="1664"/>
      <c r="I151" s="1664"/>
      <c r="J151" s="1664"/>
      <c r="K151" s="1664"/>
      <c r="L151" s="1664"/>
      <c r="M151" s="1664"/>
      <c r="N151" s="1664"/>
      <c r="O151" s="1664"/>
      <c r="P151" s="1664"/>
      <c r="Q151" s="1664"/>
      <c r="R151" s="1664"/>
    </row>
    <row r="152" spans="1:18" s="16" customFormat="1" ht="39.950000000000003" customHeight="1" thickBot="1" x14ac:dyDescent="0.3">
      <c r="A152" s="1665"/>
      <c r="B152" s="1666"/>
      <c r="C152" s="1666"/>
      <c r="D152" s="1666"/>
      <c r="E152" s="1666"/>
      <c r="F152" s="1666"/>
      <c r="G152" s="1666"/>
      <c r="H152" s="1666"/>
      <c r="I152" s="1666"/>
      <c r="J152" s="1666"/>
      <c r="K152" s="1666"/>
      <c r="L152" s="1666"/>
      <c r="M152" s="1666"/>
      <c r="N152" s="1666"/>
      <c r="O152" s="1666"/>
      <c r="P152" s="1666"/>
      <c r="Q152" s="1666"/>
      <c r="R152" s="1666"/>
    </row>
    <row r="153" spans="1:18" s="16" customFormat="1" ht="59.25" customHeight="1" thickBot="1" x14ac:dyDescent="0.25">
      <c r="A153" s="1182" t="s">
        <v>157</v>
      </c>
      <c r="B153" s="1183" t="s">
        <v>158</v>
      </c>
      <c r="C153" s="1184" t="s">
        <v>597</v>
      </c>
      <c r="D153" s="1651" t="s">
        <v>159</v>
      </c>
      <c r="E153" s="1652"/>
      <c r="F153" s="1184" t="s">
        <v>598</v>
      </c>
      <c r="G153" s="1185" t="s">
        <v>351</v>
      </c>
      <c r="H153" s="1651" t="s">
        <v>712</v>
      </c>
      <c r="I153" s="1652"/>
      <c r="J153" s="1653" t="s">
        <v>663</v>
      </c>
      <c r="K153" s="1653"/>
      <c r="L153" s="1651" t="s">
        <v>664</v>
      </c>
      <c r="M153" s="1652"/>
      <c r="N153" s="1185" t="s">
        <v>665</v>
      </c>
      <c r="O153" s="1185" t="s">
        <v>666</v>
      </c>
      <c r="P153" s="1185" t="s">
        <v>667</v>
      </c>
      <c r="Q153" s="1201"/>
      <c r="R153" s="1184" t="s">
        <v>646</v>
      </c>
    </row>
    <row r="154" spans="1:18" s="16" customFormat="1" ht="32.1" customHeight="1" x14ac:dyDescent="0.25">
      <c r="A154" s="1348" t="s">
        <v>613</v>
      </c>
      <c r="B154" s="1358" t="e">
        <f>B155-B160</f>
        <v>#N/A</v>
      </c>
      <c r="C154" s="1359"/>
      <c r="D154" s="1359"/>
      <c r="E154" s="1359"/>
      <c r="F154" s="1359"/>
      <c r="G154" s="1359"/>
      <c r="H154" s="1359"/>
      <c r="I154" s="1359"/>
      <c r="J154" s="1359"/>
      <c r="K154" s="1359"/>
      <c r="L154" s="1359"/>
      <c r="M154" s="1359"/>
      <c r="N154" s="1359"/>
      <c r="O154" s="1359"/>
      <c r="P154" s="1359"/>
      <c r="Q154" s="1360"/>
      <c r="R154" s="1361"/>
    </row>
    <row r="155" spans="1:18" s="16" customFormat="1" ht="32.1" customHeight="1" x14ac:dyDescent="0.25">
      <c r="A155" s="1349" t="s">
        <v>614</v>
      </c>
      <c r="B155" s="1362" t="e">
        <f>AVERAGE(B82:F82)</f>
        <v>#N/A</v>
      </c>
      <c r="C155" s="1354"/>
      <c r="D155" s="1317"/>
      <c r="E155" s="1317"/>
      <c r="F155" s="1317"/>
      <c r="G155" s="1317"/>
      <c r="H155" s="1317"/>
      <c r="I155" s="1317"/>
      <c r="J155" s="1317"/>
      <c r="K155" s="1317"/>
      <c r="L155" s="1317"/>
      <c r="M155" s="1317"/>
      <c r="N155" s="1363"/>
      <c r="O155" s="1317"/>
      <c r="P155" s="1317"/>
      <c r="Q155" s="1364"/>
      <c r="R155" s="1365"/>
    </row>
    <row r="156" spans="1:18" s="16" customFormat="1" ht="32.1" customHeight="1" x14ac:dyDescent="0.25">
      <c r="A156" s="1349" t="s">
        <v>717</v>
      </c>
      <c r="B156" s="1366">
        <v>0</v>
      </c>
      <c r="C156" s="1308" t="s">
        <v>724</v>
      </c>
      <c r="D156" s="1322" t="e">
        <f>E13</f>
        <v>#N/A</v>
      </c>
      <c r="E156" s="1308" t="s">
        <v>527</v>
      </c>
      <c r="F156" s="1308" t="s">
        <v>3</v>
      </c>
      <c r="G156" s="1308">
        <f>SQRT(12)</f>
        <v>3.4641016151377544</v>
      </c>
      <c r="H156" s="1324" t="e">
        <f>D156/G156</f>
        <v>#N/A</v>
      </c>
      <c r="I156" s="1308" t="s">
        <v>527</v>
      </c>
      <c r="J156" s="1367" t="e">
        <f>(1 - (B165/B169)) * (1/(B167 - B165)) * (1 - B171 * (B173 - B183))</f>
        <v>#N/A</v>
      </c>
      <c r="K156" s="1308" t="s">
        <v>615</v>
      </c>
      <c r="L156" s="1368" t="e">
        <f>H156*J156</f>
        <v>#N/A</v>
      </c>
      <c r="M156" s="1308" t="s">
        <v>2</v>
      </c>
      <c r="N156" s="1313" t="e">
        <f>L156^2</f>
        <v>#N/A</v>
      </c>
      <c r="O156" s="1310">
        <f>0.5*(100%-99%)^-2</f>
        <v>4999.9999999999909</v>
      </c>
      <c r="P156" s="1369" t="e">
        <f>L156^4</f>
        <v>#N/A</v>
      </c>
      <c r="Q156" s="1370" t="e">
        <f>P156/O156</f>
        <v>#N/A</v>
      </c>
      <c r="R156" s="1202" t="e">
        <f>(L156/$N$184)^2</f>
        <v>#N/A</v>
      </c>
    </row>
    <row r="157" spans="1:18" s="16" customFormat="1" ht="32.1" customHeight="1" x14ac:dyDescent="0.25">
      <c r="A157" s="1349" t="s">
        <v>718</v>
      </c>
      <c r="B157" s="1371">
        <v>0</v>
      </c>
      <c r="C157" s="1308" t="s">
        <v>616</v>
      </c>
      <c r="D157" s="1372" t="e">
        <f>I20</f>
        <v>#N/A</v>
      </c>
      <c r="E157" s="1308" t="s">
        <v>527</v>
      </c>
      <c r="F157" s="1308" t="s">
        <v>65</v>
      </c>
      <c r="G157" s="1310" t="e">
        <f>O16</f>
        <v>#N/A</v>
      </c>
      <c r="H157" s="1324" t="e">
        <f>D157/G157</f>
        <v>#N/A</v>
      </c>
      <c r="I157" s="1308" t="s">
        <v>527</v>
      </c>
      <c r="J157" s="1367" t="e">
        <f>(1 - (B165/B169)) * (1/(B167 - B165)) * (1 - B171 * (B173 - B183))</f>
        <v>#N/A</v>
      </c>
      <c r="K157" s="1308" t="s">
        <v>615</v>
      </c>
      <c r="L157" s="1368" t="e">
        <f>H157*J157</f>
        <v>#N/A</v>
      </c>
      <c r="M157" s="1308" t="s">
        <v>2</v>
      </c>
      <c r="N157" s="1313" t="e">
        <f>L157^2</f>
        <v>#N/A</v>
      </c>
      <c r="O157" s="1308">
        <f>0.5*(100%-95%)^-2</f>
        <v>199.99999999999966</v>
      </c>
      <c r="P157" s="1369" t="e">
        <f>L157^4</f>
        <v>#N/A</v>
      </c>
      <c r="Q157" s="1370" t="e">
        <f>P157/O157</f>
        <v>#N/A</v>
      </c>
      <c r="R157" s="1202" t="e">
        <f>(L157/$N$184)^2</f>
        <v>#N/A</v>
      </c>
    </row>
    <row r="158" spans="1:18" s="16" customFormat="1" ht="32.1" customHeight="1" x14ac:dyDescent="0.25">
      <c r="A158" s="1349" t="s">
        <v>617</v>
      </c>
      <c r="B158" s="1371">
        <v>0</v>
      </c>
      <c r="C158" s="1308" t="s">
        <v>110</v>
      </c>
      <c r="D158" s="1373" t="e">
        <f>(0.3/15000)*B155</f>
        <v>#N/A</v>
      </c>
      <c r="E158" s="1308" t="s">
        <v>527</v>
      </c>
      <c r="F158" s="1308" t="s">
        <v>3</v>
      </c>
      <c r="G158" s="1308">
        <f>SQRT(3)</f>
        <v>1.7320508075688772</v>
      </c>
      <c r="H158" s="1324" t="e">
        <f>D158/G158</f>
        <v>#N/A</v>
      </c>
      <c r="I158" s="1308" t="s">
        <v>527</v>
      </c>
      <c r="J158" s="1367" t="e">
        <f>(1 - (B165/B169)) * (1/(B167 - B165)) * (1 - B171 * (B173 - B183))</f>
        <v>#N/A</v>
      </c>
      <c r="K158" s="1308" t="s">
        <v>615</v>
      </c>
      <c r="L158" s="1368" t="e">
        <f>H158*J158</f>
        <v>#N/A</v>
      </c>
      <c r="M158" s="1308" t="s">
        <v>2</v>
      </c>
      <c r="N158" s="1374" t="e">
        <f>L158^2</f>
        <v>#N/A</v>
      </c>
      <c r="O158" s="1310">
        <f>0.5*(100%-95%)^-2</f>
        <v>199.99999999999966</v>
      </c>
      <c r="P158" s="1369" t="e">
        <f>L158^4</f>
        <v>#N/A</v>
      </c>
      <c r="Q158" s="1370" t="e">
        <f>P158/O158</f>
        <v>#N/A</v>
      </c>
      <c r="R158" s="1202" t="e">
        <f>(L158/$N$184)^2</f>
        <v>#N/A</v>
      </c>
    </row>
    <row r="159" spans="1:18" s="16" customFormat="1" ht="32.1" customHeight="1" x14ac:dyDescent="0.25">
      <c r="A159" s="1349" t="s">
        <v>719</v>
      </c>
      <c r="B159" s="1371">
        <v>0</v>
      </c>
      <c r="C159" s="1308" t="s">
        <v>616</v>
      </c>
      <c r="D159" s="1332" t="e">
        <f>K16</f>
        <v>#N/A</v>
      </c>
      <c r="E159" s="1308" t="s">
        <v>527</v>
      </c>
      <c r="F159" s="1308" t="s">
        <v>3</v>
      </c>
      <c r="G159" s="1308">
        <f>SQRT(12)</f>
        <v>3.4641016151377544</v>
      </c>
      <c r="H159" s="1324" t="e">
        <f>D159/G159</f>
        <v>#N/A</v>
      </c>
      <c r="I159" s="1308" t="s">
        <v>527</v>
      </c>
      <c r="J159" s="1367" t="e">
        <f>(1 - (B165/B169)) * (1/(B167 - B165)) * (1 - B171 * (B173 - B183))</f>
        <v>#N/A</v>
      </c>
      <c r="K159" s="1308" t="s">
        <v>615</v>
      </c>
      <c r="L159" s="1368" t="e">
        <f>H159*J159</f>
        <v>#N/A</v>
      </c>
      <c r="M159" s="1308" t="s">
        <v>2</v>
      </c>
      <c r="N159" s="1374" t="e">
        <f>L159^2</f>
        <v>#N/A</v>
      </c>
      <c r="O159" s="1310">
        <f>0.5*(100%-95%)^-2</f>
        <v>199.99999999999966</v>
      </c>
      <c r="P159" s="1369" t="e">
        <f>L159^4</f>
        <v>#N/A</v>
      </c>
      <c r="Q159" s="1370" t="e">
        <f>P159/O159</f>
        <v>#N/A</v>
      </c>
      <c r="R159" s="1202" t="e">
        <f>(L159/$N$184)^2</f>
        <v>#N/A</v>
      </c>
    </row>
    <row r="160" spans="1:18" s="16" customFormat="1" ht="32.1" customHeight="1" x14ac:dyDescent="0.25">
      <c r="A160" s="1349" t="s">
        <v>714</v>
      </c>
      <c r="B160" s="1375" t="e">
        <f>AVERAGE(B80:F80)</f>
        <v>#N/A</v>
      </c>
      <c r="C160" s="1354"/>
      <c r="D160" s="1317"/>
      <c r="E160" s="1317"/>
      <c r="F160" s="1317"/>
      <c r="G160" s="1317"/>
      <c r="H160" s="1376"/>
      <c r="I160" s="1317"/>
      <c r="J160" s="1317"/>
      <c r="K160" s="1317"/>
      <c r="L160" s="1377"/>
      <c r="M160" s="1317"/>
      <c r="N160" s="1363"/>
      <c r="O160" s="1317"/>
      <c r="P160" s="1317"/>
      <c r="Q160" s="1364"/>
      <c r="R160" s="1365"/>
    </row>
    <row r="161" spans="1:31" s="16" customFormat="1" ht="32.1" customHeight="1" x14ac:dyDescent="0.25">
      <c r="A161" s="1349" t="s">
        <v>618</v>
      </c>
      <c r="B161" s="1371">
        <v>0</v>
      </c>
      <c r="C161" s="1308" t="s">
        <v>724</v>
      </c>
      <c r="D161" s="1322" t="e">
        <f>E13</f>
        <v>#N/A</v>
      </c>
      <c r="E161" s="1308" t="s">
        <v>527</v>
      </c>
      <c r="F161" s="1308" t="s">
        <v>3</v>
      </c>
      <c r="G161" s="1308">
        <f>SQRT(12)</f>
        <v>3.4641016151377544</v>
      </c>
      <c r="H161" s="1324" t="e">
        <f>D161/G161</f>
        <v>#N/A</v>
      </c>
      <c r="I161" s="1308" t="s">
        <v>527</v>
      </c>
      <c r="J161" s="1367" t="e">
        <f>-((1 - (B165/B169)) * (1/(B167 - B165)) * (1 - B171 * (B173 -
    B183)))</f>
        <v>#N/A</v>
      </c>
      <c r="K161" s="1308" t="s">
        <v>615</v>
      </c>
      <c r="L161" s="1368" t="e">
        <f>H161*J161</f>
        <v>#N/A</v>
      </c>
      <c r="M161" s="1308" t="s">
        <v>2</v>
      </c>
      <c r="N161" s="1374" t="e">
        <f>L161^2</f>
        <v>#N/A</v>
      </c>
      <c r="O161" s="1310">
        <f>0.5*(100%-99%)^-2</f>
        <v>4999.9999999999909</v>
      </c>
      <c r="P161" s="1369" t="e">
        <f>L161^4</f>
        <v>#N/A</v>
      </c>
      <c r="Q161" s="1370" t="e">
        <f>P161/O161</f>
        <v>#N/A</v>
      </c>
      <c r="R161" s="1202" t="e">
        <f>(L161/$N$184)^2</f>
        <v>#N/A</v>
      </c>
    </row>
    <row r="162" spans="1:31" s="16" customFormat="1" ht="32.1" customHeight="1" x14ac:dyDescent="0.25">
      <c r="A162" s="1349" t="s">
        <v>718</v>
      </c>
      <c r="B162" s="1371">
        <v>0</v>
      </c>
      <c r="C162" s="1308" t="s">
        <v>616</v>
      </c>
      <c r="D162" s="1372" t="e">
        <f>I14</f>
        <v>#N/A</v>
      </c>
      <c r="E162" s="1308" t="s">
        <v>527</v>
      </c>
      <c r="F162" s="1308" t="s">
        <v>65</v>
      </c>
      <c r="G162" s="1310" t="e">
        <f>O14</f>
        <v>#N/A</v>
      </c>
      <c r="H162" s="1324" t="e">
        <f>D162/G162</f>
        <v>#N/A</v>
      </c>
      <c r="I162" s="1308" t="s">
        <v>527</v>
      </c>
      <c r="J162" s="1367" t="e">
        <f>-((1 - (B165/B169)) * (1/(B167 - B165)) * (1 - B171 * (B173 -
    B183)))</f>
        <v>#N/A</v>
      </c>
      <c r="K162" s="1308" t="s">
        <v>615</v>
      </c>
      <c r="L162" s="1368" t="e">
        <f>H162*J162</f>
        <v>#N/A</v>
      </c>
      <c r="M162" s="1308" t="s">
        <v>2</v>
      </c>
      <c r="N162" s="1374" t="e">
        <f>L162^2</f>
        <v>#N/A</v>
      </c>
      <c r="O162" s="1308">
        <f>0.5*(100%-95%)^-2</f>
        <v>199.99999999999966</v>
      </c>
      <c r="P162" s="1369" t="e">
        <f>L162^4</f>
        <v>#N/A</v>
      </c>
      <c r="Q162" s="1370" t="e">
        <f>P162/O162</f>
        <v>#N/A</v>
      </c>
      <c r="R162" s="1202" t="e">
        <f>(L162/$N$184)^2</f>
        <v>#N/A</v>
      </c>
    </row>
    <row r="163" spans="1:31" s="16" customFormat="1" ht="32.1" customHeight="1" x14ac:dyDescent="0.25">
      <c r="A163" s="1349" t="s">
        <v>617</v>
      </c>
      <c r="B163" s="1371">
        <v>0</v>
      </c>
      <c r="C163" s="1308" t="s">
        <v>110</v>
      </c>
      <c r="D163" s="1373" t="e">
        <f>(0.3/15000)*B160</f>
        <v>#N/A</v>
      </c>
      <c r="E163" s="1308" t="s">
        <v>527</v>
      </c>
      <c r="F163" s="1308" t="s">
        <v>3</v>
      </c>
      <c r="G163" s="1308">
        <f>SQRT(3)</f>
        <v>1.7320508075688772</v>
      </c>
      <c r="H163" s="1324" t="e">
        <f>D163/G163</f>
        <v>#N/A</v>
      </c>
      <c r="I163" s="1308" t="s">
        <v>527</v>
      </c>
      <c r="J163" s="1367" t="e">
        <f>-((1 - (B165/B169)) * (1/(B167 - B165)) * (1 - B171 * (B173 -
    B183)))</f>
        <v>#N/A</v>
      </c>
      <c r="K163" s="1308" t="s">
        <v>615</v>
      </c>
      <c r="L163" s="1368" t="e">
        <f>H163*J163</f>
        <v>#N/A</v>
      </c>
      <c r="M163" s="1308" t="s">
        <v>2</v>
      </c>
      <c r="N163" s="1374" t="e">
        <f>L163^2</f>
        <v>#N/A</v>
      </c>
      <c r="O163" s="1310">
        <f>0.5*(100%-95%)^-2</f>
        <v>199.99999999999966</v>
      </c>
      <c r="P163" s="1369" t="e">
        <f>L163^4</f>
        <v>#N/A</v>
      </c>
      <c r="Q163" s="1370" t="e">
        <f>P163/O163</f>
        <v>#N/A</v>
      </c>
      <c r="R163" s="1202" t="e">
        <f>(L163/$N$184)^2</f>
        <v>#N/A</v>
      </c>
    </row>
    <row r="164" spans="1:31" s="16" customFormat="1" ht="32.1" customHeight="1" x14ac:dyDescent="0.25">
      <c r="A164" s="1349" t="s">
        <v>719</v>
      </c>
      <c r="B164" s="1371">
        <v>0</v>
      </c>
      <c r="C164" s="1308" t="s">
        <v>616</v>
      </c>
      <c r="D164" s="1332" t="e">
        <f>K14</f>
        <v>#N/A</v>
      </c>
      <c r="E164" s="1308" t="s">
        <v>527</v>
      </c>
      <c r="F164" s="1308" t="s">
        <v>3</v>
      </c>
      <c r="G164" s="1308">
        <f>SQRT(12)</f>
        <v>3.4641016151377544</v>
      </c>
      <c r="H164" s="1324" t="e">
        <f>D164/G164</f>
        <v>#N/A</v>
      </c>
      <c r="I164" s="1308" t="s">
        <v>527</v>
      </c>
      <c r="J164" s="1367" t="e">
        <f>-((1 - (B165/B169)) * (1/(B167 - B165)) * (1 - B171 * (B173 -
    B183)))</f>
        <v>#N/A</v>
      </c>
      <c r="K164" s="1308" t="s">
        <v>615</v>
      </c>
      <c r="L164" s="1368" t="e">
        <f>H164*J164</f>
        <v>#N/A</v>
      </c>
      <c r="M164" s="1308" t="s">
        <v>2</v>
      </c>
      <c r="N164" s="1374" t="e">
        <f>L164^2</f>
        <v>#N/A</v>
      </c>
      <c r="O164" s="1310">
        <f>0.5*(100%-95%)^-2</f>
        <v>199.99999999999966</v>
      </c>
      <c r="P164" s="1369" t="e">
        <f>L164^4</f>
        <v>#N/A</v>
      </c>
      <c r="Q164" s="1370" t="e">
        <f>P164/O164</f>
        <v>#N/A</v>
      </c>
      <c r="R164" s="1202" t="e">
        <f>(L164/$N$184)^2</f>
        <v>#N/A</v>
      </c>
    </row>
    <row r="165" spans="1:31" s="16" customFormat="1" ht="32.1" customHeight="1" x14ac:dyDescent="0.25">
      <c r="A165" s="1350" t="s">
        <v>619</v>
      </c>
      <c r="B165" s="1378" t="e">
        <f>AVERAGE(B70:F70)</f>
        <v>#N/A</v>
      </c>
      <c r="C165" s="1317"/>
      <c r="D165" s="1317"/>
      <c r="E165" s="1317"/>
      <c r="F165" s="1317"/>
      <c r="G165" s="1317"/>
      <c r="H165" s="1376"/>
      <c r="I165" s="1317"/>
      <c r="J165" s="1317"/>
      <c r="K165" s="1317"/>
      <c r="L165" s="1377"/>
      <c r="M165" s="1317"/>
      <c r="N165" s="1363"/>
      <c r="O165" s="1317"/>
      <c r="P165" s="1317"/>
      <c r="Q165" s="1364"/>
      <c r="R165" s="1365"/>
    </row>
    <row r="166" spans="1:31" s="16" customFormat="1" ht="32.1" customHeight="1" x14ac:dyDescent="0.25">
      <c r="A166" s="1350" t="s">
        <v>715</v>
      </c>
      <c r="B166" s="1371">
        <v>0</v>
      </c>
      <c r="C166" s="1308" t="s">
        <v>620</v>
      </c>
      <c r="D166" s="1313" t="e">
        <f>N128</f>
        <v>#N/A</v>
      </c>
      <c r="E166" s="1308" t="s">
        <v>659</v>
      </c>
      <c r="F166" s="1308" t="s">
        <v>65</v>
      </c>
      <c r="G166" s="1308">
        <v>1</v>
      </c>
      <c r="H166" s="1379" t="e">
        <f>D166/G166</f>
        <v>#N/A</v>
      </c>
      <c r="I166" s="1308" t="s">
        <v>659</v>
      </c>
      <c r="J166" s="1368" t="e">
        <f>((B155 - B160) * (1 - (B165/B169)) * (1/(B167 - B165)^2) - (B155 -
    B160) * (1/B169) * (1/(B167 - B165))) * (1 - B171 * (B173 -
    B183))</f>
        <v>#N/A</v>
      </c>
      <c r="K166" s="1308" t="s">
        <v>726</v>
      </c>
      <c r="L166" s="1368" t="e">
        <f>H166*J166</f>
        <v>#N/A</v>
      </c>
      <c r="M166" s="1308" t="s">
        <v>2</v>
      </c>
      <c r="N166" s="1374" t="e">
        <f>L166^2</f>
        <v>#N/A</v>
      </c>
      <c r="O166" s="1310">
        <f>0.5*(100%-95%)^-2</f>
        <v>199.99999999999966</v>
      </c>
      <c r="P166" s="1369" t="e">
        <f>L166^4</f>
        <v>#N/A</v>
      </c>
      <c r="Q166" s="1370" t="e">
        <f>P166/O166</f>
        <v>#N/A</v>
      </c>
      <c r="R166" s="1202" t="e">
        <f>(L166/$N$184)^2</f>
        <v>#N/A</v>
      </c>
    </row>
    <row r="167" spans="1:31" s="16" customFormat="1" ht="32.1" customHeight="1" x14ac:dyDescent="0.25">
      <c r="A167" s="1350" t="s">
        <v>621</v>
      </c>
      <c r="B167" s="1362" t="e">
        <f>AVERAGE(B74:F74)</f>
        <v>#N/A</v>
      </c>
      <c r="C167" s="1317"/>
      <c r="D167" s="1317"/>
      <c r="E167" s="1317"/>
      <c r="F167" s="1317"/>
      <c r="G167" s="1317"/>
      <c r="H167" s="1376"/>
      <c r="I167" s="1317"/>
      <c r="J167" s="1317"/>
      <c r="K167" s="1317"/>
      <c r="L167" s="1377"/>
      <c r="M167" s="1317"/>
      <c r="N167" s="1363"/>
      <c r="O167" s="1317"/>
      <c r="P167" s="1317"/>
      <c r="Q167" s="1364"/>
      <c r="R167" s="1365"/>
    </row>
    <row r="168" spans="1:31" s="16" customFormat="1" ht="32.1" customHeight="1" x14ac:dyDescent="0.25">
      <c r="A168" s="1350" t="s">
        <v>622</v>
      </c>
      <c r="B168" s="1366">
        <v>0</v>
      </c>
      <c r="C168" s="1308" t="s">
        <v>608</v>
      </c>
      <c r="D168" s="1313" t="e">
        <f>N147</f>
        <v>#N/A</v>
      </c>
      <c r="E168" s="1308" t="s">
        <v>659</v>
      </c>
      <c r="F168" s="1308" t="s">
        <v>65</v>
      </c>
      <c r="G168" s="1308">
        <v>1</v>
      </c>
      <c r="H168" s="1312" t="e">
        <f>D168/G168</f>
        <v>#N/A</v>
      </c>
      <c r="I168" s="1308" t="s">
        <v>659</v>
      </c>
      <c r="J168" s="1368" t="e">
        <f>-((B155 - B160) * (1 - (B165/B169)) * (1/(B167 - B165)^2) * (1 -
    B171 * (B173 - B183)))</f>
        <v>#N/A</v>
      </c>
      <c r="K168" s="1308" t="s">
        <v>726</v>
      </c>
      <c r="L168" s="1368" t="e">
        <f>H168*J168</f>
        <v>#N/A</v>
      </c>
      <c r="M168" s="1308" t="s">
        <v>2</v>
      </c>
      <c r="N168" s="1374" t="e">
        <f>L168^2</f>
        <v>#N/A</v>
      </c>
      <c r="O168" s="1310">
        <f>0.5*(100%-95%)^-2</f>
        <v>199.99999999999966</v>
      </c>
      <c r="P168" s="1369" t="e">
        <f>L168^4</f>
        <v>#N/A</v>
      </c>
      <c r="Q168" s="1370" t="e">
        <f>P168/O168</f>
        <v>#N/A</v>
      </c>
      <c r="R168" s="1202" t="e">
        <f>(L168/$N$184)^2</f>
        <v>#N/A</v>
      </c>
    </row>
    <row r="169" spans="1:31" s="279" customFormat="1" ht="32.1" customHeight="1" x14ac:dyDescent="0.25">
      <c r="A169" s="1350" t="s">
        <v>623</v>
      </c>
      <c r="B169" s="1380" t="e">
        <f>C7</f>
        <v>#N/A</v>
      </c>
      <c r="C169" s="1317"/>
      <c r="D169" s="1317"/>
      <c r="E169" s="1317"/>
      <c r="F169" s="1317"/>
      <c r="G169" s="1317"/>
      <c r="H169" s="1376"/>
      <c r="I169" s="1317"/>
      <c r="J169" s="1317"/>
      <c r="K169" s="1317"/>
      <c r="L169" s="1377"/>
      <c r="M169" s="1317"/>
      <c r="N169" s="1363"/>
      <c r="O169" s="1317"/>
      <c r="P169" s="1317"/>
      <c r="Q169" s="1364"/>
      <c r="R169" s="1365"/>
      <c r="S169" s="15"/>
      <c r="T169" s="15"/>
      <c r="U169" s="15"/>
      <c r="V169" s="301"/>
      <c r="W169" s="301"/>
    </row>
    <row r="170" spans="1:31" s="15" customFormat="1" ht="32.1" customHeight="1" x14ac:dyDescent="0.25">
      <c r="A170" s="1350" t="s">
        <v>624</v>
      </c>
      <c r="B170" s="1371">
        <v>0</v>
      </c>
      <c r="C170" s="1308" t="s">
        <v>625</v>
      </c>
      <c r="D170" s="1381">
        <v>0.14000000000000001</v>
      </c>
      <c r="E170" s="1308" t="s">
        <v>659</v>
      </c>
      <c r="F170" s="1308" t="s">
        <v>65</v>
      </c>
      <c r="G170" s="1308" t="e">
        <f>O7</f>
        <v>#N/A</v>
      </c>
      <c r="H170" s="1332" t="e">
        <f>D170/G170</f>
        <v>#N/A</v>
      </c>
      <c r="I170" s="1308" t="s">
        <v>659</v>
      </c>
      <c r="J170" s="1382" t="e">
        <f>(B155 - B160) * (B165/B169^2) * (1/(B167 - B165)) * (1 - B171 *
    (B173 - B183))</f>
        <v>#N/A</v>
      </c>
      <c r="K170" s="1308" t="s">
        <v>726</v>
      </c>
      <c r="L170" s="1368" t="e">
        <f>H170*J170</f>
        <v>#N/A</v>
      </c>
      <c r="M170" s="1308" t="s">
        <v>2</v>
      </c>
      <c r="N170" s="1374" t="e">
        <f>L170^2</f>
        <v>#N/A</v>
      </c>
      <c r="O170" s="1310">
        <f>0.5*(100%-95%)^-2</f>
        <v>199.99999999999966</v>
      </c>
      <c r="P170" s="1369" t="e">
        <f>L170^4</f>
        <v>#N/A</v>
      </c>
      <c r="Q170" s="1370" t="e">
        <f>P170/O170</f>
        <v>#N/A</v>
      </c>
      <c r="R170" s="1202" t="e">
        <f>(L170/$N$184)^2</f>
        <v>#N/A</v>
      </c>
    </row>
    <row r="171" spans="1:31" s="15" customFormat="1" ht="32.1" customHeight="1" x14ac:dyDescent="0.25">
      <c r="A171" s="1350" t="s">
        <v>626</v>
      </c>
      <c r="B171" s="1383" t="e">
        <f>C48</f>
        <v>#N/A</v>
      </c>
      <c r="C171" s="1354"/>
      <c r="D171" s="1317"/>
      <c r="E171" s="1317"/>
      <c r="F171" s="1317"/>
      <c r="G171" s="1317"/>
      <c r="H171" s="1376"/>
      <c r="I171" s="1317"/>
      <c r="J171" s="1317"/>
      <c r="K171" s="1317"/>
      <c r="L171" s="1377"/>
      <c r="M171" s="1317"/>
      <c r="N171" s="1363"/>
      <c r="O171" s="1317"/>
      <c r="P171" s="1317"/>
      <c r="Q171" s="1364"/>
      <c r="R171" s="1365"/>
    </row>
    <row r="172" spans="1:31" s="15" customFormat="1" ht="32.1" customHeight="1" x14ac:dyDescent="0.25">
      <c r="A172" s="1350" t="s">
        <v>627</v>
      </c>
      <c r="B172" s="1371">
        <v>0</v>
      </c>
      <c r="C172" s="1308" t="s">
        <v>26</v>
      </c>
      <c r="D172" s="1379" t="e">
        <f>B171*5%</f>
        <v>#N/A</v>
      </c>
      <c r="E172" s="1308" t="s">
        <v>7</v>
      </c>
      <c r="F172" s="1308" t="s">
        <v>3</v>
      </c>
      <c r="G172" s="1308">
        <f>SQRT(3)</f>
        <v>1.7320508075688772</v>
      </c>
      <c r="H172" s="1367" t="e">
        <f>D172/G172</f>
        <v>#N/A</v>
      </c>
      <c r="I172" s="1308" t="s">
        <v>7</v>
      </c>
      <c r="J172" s="1324" t="e">
        <f>-((B155 - B160) * (1 - (B165/B169)) * (1/(B167 - B165)) * (B173 -
    B183))</f>
        <v>#N/A</v>
      </c>
      <c r="K172" s="1308" t="s">
        <v>628</v>
      </c>
      <c r="L172" s="1368" t="e">
        <f>H172*J172</f>
        <v>#N/A</v>
      </c>
      <c r="M172" s="1308" t="s">
        <v>2</v>
      </c>
      <c r="N172" s="1374" t="e">
        <f>L172^2</f>
        <v>#N/A</v>
      </c>
      <c r="O172" s="1310">
        <f>0.5*(100%-95%)^-2</f>
        <v>199.99999999999966</v>
      </c>
      <c r="P172" s="1369" t="e">
        <f>L172^4</f>
        <v>#N/A</v>
      </c>
      <c r="Q172" s="1370" t="e">
        <f>P172/O172</f>
        <v>#N/A</v>
      </c>
      <c r="R172" s="1202" t="e">
        <f>(L172/$N$184)^2</f>
        <v>#N/A</v>
      </c>
    </row>
    <row r="173" spans="1:31" s="16" customFormat="1" ht="32.1" customHeight="1" x14ac:dyDescent="0.25">
      <c r="A173" s="1350" t="s">
        <v>629</v>
      </c>
      <c r="B173" s="1384" t="e">
        <f>AVERAGE(B84:F84)</f>
        <v>#N/A</v>
      </c>
      <c r="C173" s="1317"/>
      <c r="D173" s="1330"/>
      <c r="E173" s="1330"/>
      <c r="F173" s="1317"/>
      <c r="G173" s="1317"/>
      <c r="H173" s="1376"/>
      <c r="I173" s="1330"/>
      <c r="J173" s="1317"/>
      <c r="K173" s="1317"/>
      <c r="L173" s="1377"/>
      <c r="M173" s="1317"/>
      <c r="N173" s="1363"/>
      <c r="O173" s="1317"/>
      <c r="P173" s="1317"/>
      <c r="Q173" s="1364"/>
      <c r="R173" s="1365"/>
      <c r="S173" s="15"/>
      <c r="T173" s="15"/>
      <c r="U173" s="15"/>
      <c r="V173" s="302"/>
      <c r="W173" s="302"/>
      <c r="X173" s="302"/>
      <c r="Y173" s="302"/>
      <c r="Z173" s="302"/>
      <c r="AA173" s="302"/>
    </row>
    <row r="174" spans="1:31" s="15" customFormat="1" ht="32.1" customHeight="1" x14ac:dyDescent="0.25">
      <c r="A174" s="1350" t="s">
        <v>720</v>
      </c>
      <c r="B174" s="1366">
        <v>0</v>
      </c>
      <c r="C174" s="1308" t="s">
        <v>701</v>
      </c>
      <c r="D174" s="1332" t="e">
        <f>E8</f>
        <v>#N/A</v>
      </c>
      <c r="E174" s="1308" t="s">
        <v>1</v>
      </c>
      <c r="F174" s="1323" t="s">
        <v>3</v>
      </c>
      <c r="G174" s="1323">
        <f>SQRT(12)</f>
        <v>3.4641016151377544</v>
      </c>
      <c r="H174" s="1379" t="e">
        <f t="shared" ref="H174:H182" si="13">D174/G174</f>
        <v>#N/A</v>
      </c>
      <c r="I174" s="1308" t="s">
        <v>1</v>
      </c>
      <c r="J174" s="1323" t="e">
        <f>-((B155 - B160) * (1 - (B165/B169)) * (1/(B167 - B165)) * B171)</f>
        <v>#N/A</v>
      </c>
      <c r="K174" s="1308" t="s">
        <v>630</v>
      </c>
      <c r="L174" s="1385" t="e">
        <f>J174*H174</f>
        <v>#N/A</v>
      </c>
      <c r="M174" s="1308" t="s">
        <v>2</v>
      </c>
      <c r="N174" s="1386" t="e">
        <f t="shared" ref="N174:N182" si="14">L174^2</f>
        <v>#N/A</v>
      </c>
      <c r="O174" s="1310">
        <f>0.5*(100%-99%)^-2</f>
        <v>4999.9999999999909</v>
      </c>
      <c r="P174" s="1386" t="e">
        <f t="shared" ref="P174:P182" si="15">L174^4</f>
        <v>#N/A</v>
      </c>
      <c r="Q174" s="1370" t="e">
        <f t="shared" ref="Q174:Q182" si="16">P174/O174</f>
        <v>#N/A</v>
      </c>
      <c r="R174" s="1202" t="e">
        <f t="shared" ref="R174:R182" si="17">(L174/$N$184)^2</f>
        <v>#N/A</v>
      </c>
      <c r="V174" s="1672"/>
      <c r="W174" s="1672"/>
      <c r="X174" s="1672"/>
      <c r="Y174" s="279"/>
      <c r="Z174" s="279"/>
      <c r="AA174" s="279"/>
      <c r="AB174" s="279"/>
      <c r="AC174" s="279"/>
      <c r="AD174" s="279"/>
      <c r="AE174" s="279"/>
    </row>
    <row r="175" spans="1:31" s="15" customFormat="1" ht="32.1" customHeight="1" x14ac:dyDescent="0.25">
      <c r="A175" s="1349" t="s">
        <v>721</v>
      </c>
      <c r="B175" s="1366">
        <v>0</v>
      </c>
      <c r="C175" s="1308" t="s">
        <v>610</v>
      </c>
      <c r="D175" s="1387" t="e">
        <f>I12</f>
        <v>#N/A</v>
      </c>
      <c r="E175" s="1308" t="s">
        <v>1</v>
      </c>
      <c r="F175" s="1308" t="s">
        <v>635</v>
      </c>
      <c r="G175" s="1388" t="e">
        <f>O12</f>
        <v>#N/A</v>
      </c>
      <c r="H175" s="1379" t="e">
        <f t="shared" si="13"/>
        <v>#N/A</v>
      </c>
      <c r="I175" s="1308" t="s">
        <v>1</v>
      </c>
      <c r="J175" s="1323" t="e">
        <f>-((B155 - B160) * (1 - (B165/B169)) * (1/(B167 - B165)) * B171)</f>
        <v>#N/A</v>
      </c>
      <c r="K175" s="1308" t="s">
        <v>630</v>
      </c>
      <c r="L175" s="1385" t="e">
        <f>J175*H175</f>
        <v>#N/A</v>
      </c>
      <c r="M175" s="1308" t="s">
        <v>2</v>
      </c>
      <c r="N175" s="1386" t="e">
        <f t="shared" si="14"/>
        <v>#N/A</v>
      </c>
      <c r="O175" s="1310">
        <f>0.5*(100%-95%)^-2</f>
        <v>199.99999999999966</v>
      </c>
      <c r="P175" s="1386" t="e">
        <f t="shared" si="15"/>
        <v>#N/A</v>
      </c>
      <c r="Q175" s="1370" t="e">
        <f>P175/O175</f>
        <v>#N/A</v>
      </c>
      <c r="R175" s="1202" t="e">
        <f t="shared" si="17"/>
        <v>#N/A</v>
      </c>
      <c r="V175" s="1671"/>
      <c r="W175" s="1671"/>
      <c r="X175" s="1671"/>
    </row>
    <row r="176" spans="1:31" ht="32.1" customHeight="1" x14ac:dyDescent="0.2">
      <c r="A176" s="1350" t="s">
        <v>722</v>
      </c>
      <c r="B176" s="1366">
        <v>0</v>
      </c>
      <c r="C176" s="1308" t="s">
        <v>611</v>
      </c>
      <c r="D176" s="1389" t="e">
        <f>K12</f>
        <v>#N/A</v>
      </c>
      <c r="E176" s="1308" t="s">
        <v>1</v>
      </c>
      <c r="F176" s="1323" t="s">
        <v>704</v>
      </c>
      <c r="G176" s="1323">
        <f>SQRT(12)</f>
        <v>3.4641016151377544</v>
      </c>
      <c r="H176" s="1379" t="e">
        <f t="shared" si="13"/>
        <v>#N/A</v>
      </c>
      <c r="I176" s="1308" t="s">
        <v>1</v>
      </c>
      <c r="J176" s="1323" t="e">
        <f>-((B155 - B160) * (1 - (B165/B169)) * (1/(B167 - B165)) * B171)</f>
        <v>#N/A</v>
      </c>
      <c r="K176" s="1308" t="s">
        <v>630</v>
      </c>
      <c r="L176" s="1385" t="e">
        <f>J176*H176</f>
        <v>#N/A</v>
      </c>
      <c r="M176" s="1308" t="s">
        <v>2</v>
      </c>
      <c r="N176" s="1386" t="e">
        <f>L176^2</f>
        <v>#N/A</v>
      </c>
      <c r="O176" s="1310">
        <f>0.5*(100%-95%)^-2</f>
        <v>199.99999999999966</v>
      </c>
      <c r="P176" s="1386" t="e">
        <f>L176^4</f>
        <v>#N/A</v>
      </c>
      <c r="Q176" s="1370" t="e">
        <f t="shared" si="16"/>
        <v>#N/A</v>
      </c>
      <c r="R176" s="1202" t="e">
        <f t="shared" si="17"/>
        <v>#N/A</v>
      </c>
    </row>
    <row r="177" spans="1:18" ht="32.1" customHeight="1" x14ac:dyDescent="0.2">
      <c r="A177" s="1350" t="s">
        <v>723</v>
      </c>
      <c r="B177" s="1366">
        <v>0</v>
      </c>
      <c r="C177" s="1308" t="s">
        <v>634</v>
      </c>
      <c r="D177" s="1385" t="e">
        <f>MAX(B84:F84)- MIN(B84:F84)</f>
        <v>#N/A</v>
      </c>
      <c r="E177" s="1308" t="s">
        <v>1</v>
      </c>
      <c r="F177" s="1323" t="s">
        <v>3</v>
      </c>
      <c r="G177" s="1323">
        <f>SQRT(12)</f>
        <v>3.4641016151377544</v>
      </c>
      <c r="H177" s="1379" t="e">
        <f t="shared" si="13"/>
        <v>#N/A</v>
      </c>
      <c r="I177" s="1308" t="s">
        <v>1</v>
      </c>
      <c r="J177" s="1323" t="e">
        <f>-((B155 - B160) * (1 - (B165/B169)) * (1/(B167 - B165)) * B171)</f>
        <v>#N/A</v>
      </c>
      <c r="K177" s="1308" t="s">
        <v>630</v>
      </c>
      <c r="L177" s="1385" t="e">
        <f>J177*H177</f>
        <v>#N/A</v>
      </c>
      <c r="M177" s="1308" t="s">
        <v>2</v>
      </c>
      <c r="N177" s="1386" t="e">
        <f>L177^2</f>
        <v>#N/A</v>
      </c>
      <c r="O177" s="1310">
        <f>0.5*(100%-95%)^-2</f>
        <v>199.99999999999966</v>
      </c>
      <c r="P177" s="1386" t="e">
        <f>L177^4</f>
        <v>#N/A</v>
      </c>
      <c r="Q177" s="1370" t="e">
        <f t="shared" si="16"/>
        <v>#N/A</v>
      </c>
      <c r="R177" s="1202" t="e">
        <f t="shared" si="17"/>
        <v>#N/A</v>
      </c>
    </row>
    <row r="178" spans="1:18" ht="32.1" customHeight="1" x14ac:dyDescent="0.2">
      <c r="A178" s="1349" t="s">
        <v>631</v>
      </c>
      <c r="B178" s="1390">
        <v>0</v>
      </c>
      <c r="C178" s="1308" t="s">
        <v>632</v>
      </c>
      <c r="D178" s="1391" t="e">
        <f>MAX(B64:F64)-MAX(B84:F84)</f>
        <v>#N/A</v>
      </c>
      <c r="E178" s="1308" t="s">
        <v>1</v>
      </c>
      <c r="F178" s="1308" t="s">
        <v>3</v>
      </c>
      <c r="G178" s="1308">
        <f>SQRT(12)</f>
        <v>3.4641016151377544</v>
      </c>
      <c r="H178" s="1392" t="e">
        <f t="shared" si="13"/>
        <v>#N/A</v>
      </c>
      <c r="I178" s="1308" t="s">
        <v>1</v>
      </c>
      <c r="J178" s="1308" t="e">
        <f>-((B155 - B160) * (1 - (B165/B169)) * (1/(B167 - B165)) * B171)</f>
        <v>#N/A</v>
      </c>
      <c r="K178" s="1308" t="s">
        <v>630</v>
      </c>
      <c r="L178" s="1368" t="e">
        <f>H178*J178</f>
        <v>#N/A</v>
      </c>
      <c r="M178" s="1308" t="s">
        <v>2</v>
      </c>
      <c r="N178" s="1313" t="e">
        <f t="shared" si="14"/>
        <v>#N/A</v>
      </c>
      <c r="O178" s="1310">
        <f>0.5*(100%-95%)^-2</f>
        <v>199.99999999999966</v>
      </c>
      <c r="P178" s="1369" t="e">
        <f t="shared" si="15"/>
        <v>#N/A</v>
      </c>
      <c r="Q178" s="1370" t="e">
        <f t="shared" si="16"/>
        <v>#N/A</v>
      </c>
      <c r="R178" s="1203" t="e">
        <f t="shared" si="17"/>
        <v>#N/A</v>
      </c>
    </row>
    <row r="179" spans="1:18" ht="32.1" customHeight="1" x14ac:dyDescent="0.2">
      <c r="A179" s="1349" t="s">
        <v>633</v>
      </c>
      <c r="B179" s="1390">
        <v>0</v>
      </c>
      <c r="C179" s="1308" t="s">
        <v>634</v>
      </c>
      <c r="D179" s="1324" t="e">
        <f>_xlfn.STDEV.S(B92:F92)</f>
        <v>#N/A</v>
      </c>
      <c r="E179" s="1308" t="s">
        <v>668</v>
      </c>
      <c r="F179" s="1308" t="s">
        <v>635</v>
      </c>
      <c r="G179" s="1308">
        <f>SQRT(5)</f>
        <v>2.2360679774997898</v>
      </c>
      <c r="H179" s="1392" t="e">
        <f t="shared" si="13"/>
        <v>#N/A</v>
      </c>
      <c r="I179" s="1308" t="s">
        <v>668</v>
      </c>
      <c r="J179" s="1308">
        <v>1</v>
      </c>
      <c r="K179" s="1308" t="s">
        <v>2</v>
      </c>
      <c r="L179" s="1368" t="e">
        <f>H179*J179</f>
        <v>#N/A</v>
      </c>
      <c r="M179" s="1308" t="s">
        <v>2</v>
      </c>
      <c r="N179" s="1313" t="e">
        <f t="shared" si="14"/>
        <v>#N/A</v>
      </c>
      <c r="O179" s="1308">
        <v>4</v>
      </c>
      <c r="P179" s="1369" t="e">
        <f t="shared" si="15"/>
        <v>#N/A</v>
      </c>
      <c r="Q179" s="1370" t="e">
        <f t="shared" si="16"/>
        <v>#N/A</v>
      </c>
      <c r="R179" s="1204" t="e">
        <f t="shared" si="17"/>
        <v>#N/A</v>
      </c>
    </row>
    <row r="180" spans="1:18" ht="32.1" customHeight="1" x14ac:dyDescent="0.2">
      <c r="A180" s="1349" t="s">
        <v>636</v>
      </c>
      <c r="B180" s="1390">
        <v>0</v>
      </c>
      <c r="C180" s="1308" t="s">
        <v>637</v>
      </c>
      <c r="D180" s="1393" t="e">
        <f>(2*PI()*1.5^2*0.025)/4+(2*PI()*C49^2*0.025)/4</f>
        <v>#N/A</v>
      </c>
      <c r="E180" s="1308" t="s">
        <v>668</v>
      </c>
      <c r="F180" s="1308" t="s">
        <v>65</v>
      </c>
      <c r="G180" s="1308">
        <f>SQRT(3)</f>
        <v>1.7320508075688772</v>
      </c>
      <c r="H180" s="1392" t="e">
        <f t="shared" si="13"/>
        <v>#N/A</v>
      </c>
      <c r="I180" s="1308" t="s">
        <v>668</v>
      </c>
      <c r="J180" s="1308">
        <v>1</v>
      </c>
      <c r="K180" s="1308" t="s">
        <v>2</v>
      </c>
      <c r="L180" s="1368" t="e">
        <f>H180*J180</f>
        <v>#N/A</v>
      </c>
      <c r="M180" s="1308" t="s">
        <v>2</v>
      </c>
      <c r="N180" s="1394" t="e">
        <f t="shared" si="14"/>
        <v>#N/A</v>
      </c>
      <c r="O180" s="1310">
        <f>0.5*(100%-93%)^-2</f>
        <v>102.04081632653076</v>
      </c>
      <c r="P180" s="1369" t="e">
        <f t="shared" si="15"/>
        <v>#N/A</v>
      </c>
      <c r="Q180" s="1370" t="e">
        <f t="shared" si="16"/>
        <v>#N/A</v>
      </c>
      <c r="R180" s="1204" t="e">
        <f t="shared" si="17"/>
        <v>#N/A</v>
      </c>
    </row>
    <row r="181" spans="1:18" ht="32.1" customHeight="1" x14ac:dyDescent="0.2">
      <c r="A181" s="1349" t="s">
        <v>636</v>
      </c>
      <c r="B181" s="1390">
        <v>0</v>
      </c>
      <c r="C181" s="1308" t="s">
        <v>638</v>
      </c>
      <c r="D181" s="1395">
        <v>0</v>
      </c>
      <c r="E181" s="1308" t="s">
        <v>668</v>
      </c>
      <c r="F181" s="1308" t="s">
        <v>65</v>
      </c>
      <c r="G181" s="1308">
        <f>SQRT(3)</f>
        <v>1.7320508075688772</v>
      </c>
      <c r="H181" s="1392">
        <f t="shared" si="13"/>
        <v>0</v>
      </c>
      <c r="I181" s="1308" t="s">
        <v>668</v>
      </c>
      <c r="J181" s="1308">
        <v>1</v>
      </c>
      <c r="K181" s="1308" t="s">
        <v>2</v>
      </c>
      <c r="L181" s="1368">
        <f>H181*J181</f>
        <v>0</v>
      </c>
      <c r="M181" s="1308" t="s">
        <v>2</v>
      </c>
      <c r="N181" s="1313">
        <f t="shared" si="14"/>
        <v>0</v>
      </c>
      <c r="O181" s="1310">
        <f>0.5*(100%-93%)^-2</f>
        <v>102.04081632653076</v>
      </c>
      <c r="P181" s="1369">
        <f t="shared" si="15"/>
        <v>0</v>
      </c>
      <c r="Q181" s="1370">
        <f t="shared" si="16"/>
        <v>0</v>
      </c>
      <c r="R181" s="1202" t="e">
        <f t="shared" si="17"/>
        <v>#N/A</v>
      </c>
    </row>
    <row r="182" spans="1:18" ht="32.1" customHeight="1" x14ac:dyDescent="0.2">
      <c r="A182" s="1349" t="s">
        <v>716</v>
      </c>
      <c r="B182" s="1396">
        <v>0</v>
      </c>
      <c r="C182" s="1352" t="s">
        <v>639</v>
      </c>
      <c r="D182" s="1397">
        <v>0.51</v>
      </c>
      <c r="E182" s="1352" t="s">
        <v>668</v>
      </c>
      <c r="F182" s="1352" t="s">
        <v>3</v>
      </c>
      <c r="G182" s="1352">
        <v>1</v>
      </c>
      <c r="H182" s="1398">
        <f t="shared" si="13"/>
        <v>0.51</v>
      </c>
      <c r="I182" s="1352" t="s">
        <v>668</v>
      </c>
      <c r="J182" s="1352">
        <v>1</v>
      </c>
      <c r="K182" s="1352" t="s">
        <v>2</v>
      </c>
      <c r="L182" s="1399">
        <f>H182*J182</f>
        <v>0.51</v>
      </c>
      <c r="M182" s="1352" t="s">
        <v>2</v>
      </c>
      <c r="N182" s="1400">
        <f t="shared" si="14"/>
        <v>0.2601</v>
      </c>
      <c r="O182" s="1310">
        <f>0.5*(100%-93%)^-2</f>
        <v>102.04081632653076</v>
      </c>
      <c r="P182" s="1401">
        <f t="shared" si="15"/>
        <v>6.7652009999999999E-2</v>
      </c>
      <c r="Q182" s="1402">
        <f t="shared" si="16"/>
        <v>6.6298969799999906E-4</v>
      </c>
      <c r="R182" s="1204" t="e">
        <f t="shared" si="17"/>
        <v>#N/A</v>
      </c>
    </row>
    <row r="183" spans="1:18" ht="32.1" customHeight="1" thickBot="1" x14ac:dyDescent="0.25">
      <c r="A183" s="1349" t="s">
        <v>645</v>
      </c>
      <c r="B183" s="1403" t="e">
        <f>C44</f>
        <v>#N/A</v>
      </c>
      <c r="C183" s="1354"/>
      <c r="D183" s="1330"/>
      <c r="E183" s="1317"/>
      <c r="F183" s="1317"/>
      <c r="G183" s="1317"/>
      <c r="H183" s="1376"/>
      <c r="I183" s="1317"/>
      <c r="J183" s="1317"/>
      <c r="K183" s="1317"/>
      <c r="L183" s="1330"/>
      <c r="M183" s="1317"/>
      <c r="N183" s="1330"/>
      <c r="O183" s="1404"/>
      <c r="P183" s="1405"/>
      <c r="Q183" s="1406"/>
      <c r="R183" s="1407" t="e">
        <f>SUM(R156:R182)</f>
        <v>#N/A</v>
      </c>
    </row>
    <row r="184" spans="1:18" ht="30" customHeight="1" thickBot="1" x14ac:dyDescent="0.3">
      <c r="A184" s="1350" t="s">
        <v>644</v>
      </c>
      <c r="B184" s="1408" t="e">
        <f>(B155-B160)*(1-(B165/B169))*(1/(B167-B165))*(1-B171*(B173-B183))</f>
        <v>#N/A</v>
      </c>
      <c r="C184" s="1353" t="s">
        <v>2</v>
      </c>
      <c r="D184" s="1409"/>
      <c r="E184" s="1410"/>
      <c r="F184" s="1410"/>
      <c r="G184" s="1410"/>
      <c r="H184" s="1410"/>
      <c r="I184" s="1410"/>
      <c r="J184" s="1410"/>
      <c r="K184" s="1343"/>
      <c r="L184" s="1654" t="s">
        <v>727</v>
      </c>
      <c r="M184" s="1654"/>
      <c r="N184" s="1417" t="e">
        <f>SQRT(N156+N157+N158+N159+N161+N162+N163+N164+N166+N168+N180+N170+N172+N174+N175+N176+N177+N179+N181+N182+N178)</f>
        <v>#N/A</v>
      </c>
      <c r="O184" s="1418" t="s">
        <v>668</v>
      </c>
      <c r="P184" s="1345"/>
      <c r="Q184" s="1345"/>
      <c r="R184" s="1205"/>
    </row>
    <row r="185" spans="1:18" ht="30" customHeight="1" thickBot="1" x14ac:dyDescent="0.3">
      <c r="A185" s="1347"/>
      <c r="B185" s="1411"/>
      <c r="C185" s="1412"/>
      <c r="D185" s="1345"/>
      <c r="E185" s="1345"/>
      <c r="F185" s="1345"/>
      <c r="G185" s="1345"/>
      <c r="H185" s="1345"/>
      <c r="I185" s="1345"/>
      <c r="J185" s="1345"/>
      <c r="K185" s="1345"/>
      <c r="L185" s="1655" t="s">
        <v>601</v>
      </c>
      <c r="M185" s="1655"/>
      <c r="N185" s="1419" t="e">
        <f>N184^4/(SUM(Q156:Q182))</f>
        <v>#N/A</v>
      </c>
      <c r="O185" s="1420" t="e">
        <f>_xlfn.T.INV.2T(0.045,N185)</f>
        <v>#N/A</v>
      </c>
      <c r="P185" s="1345"/>
      <c r="Q185" s="1345"/>
      <c r="R185" s="1205"/>
    </row>
    <row r="186" spans="1:18" ht="30" customHeight="1" thickBot="1" x14ac:dyDescent="0.3">
      <c r="A186" s="1351"/>
      <c r="B186" s="1413"/>
      <c r="C186" s="1414"/>
      <c r="D186" s="1409"/>
      <c r="E186" s="1410"/>
      <c r="F186" s="1410"/>
      <c r="G186" s="1410"/>
      <c r="H186" s="1410"/>
      <c r="I186" s="1410"/>
      <c r="J186" s="1415"/>
      <c r="K186" s="1343"/>
      <c r="L186" s="1655" t="s">
        <v>640</v>
      </c>
      <c r="M186" s="1655"/>
      <c r="N186" s="1421" t="e">
        <f>N184*O185</f>
        <v>#N/A</v>
      </c>
      <c r="O186" s="1422" t="s">
        <v>668</v>
      </c>
      <c r="P186" s="1345"/>
      <c r="Q186" s="1345"/>
      <c r="R186" s="1205"/>
    </row>
    <row r="187" spans="1:18" ht="30" customHeight="1" thickBot="1" x14ac:dyDescent="0.25">
      <c r="A187" s="1345"/>
      <c r="B187" s="1416"/>
      <c r="C187" s="1345"/>
      <c r="D187" s="1345"/>
      <c r="E187" s="1345"/>
      <c r="F187" s="1345"/>
      <c r="G187" s="1345"/>
      <c r="H187" s="1345"/>
      <c r="I187" s="1345"/>
      <c r="J187" s="1345"/>
      <c r="K187" s="1345"/>
      <c r="L187" s="1655" t="s">
        <v>640</v>
      </c>
      <c r="M187" s="1655"/>
      <c r="N187" s="1423" t="e">
        <f>N186/1000</f>
        <v>#N/A</v>
      </c>
      <c r="O187" s="1422" t="s">
        <v>466</v>
      </c>
      <c r="P187" s="1345"/>
      <c r="Q187" s="1345"/>
      <c r="R187" s="1205"/>
    </row>
    <row r="188" spans="1:18" ht="30" customHeight="1" thickBot="1" x14ac:dyDescent="0.25">
      <c r="A188" s="1345"/>
      <c r="B188" s="1416"/>
      <c r="C188" s="1345"/>
      <c r="D188" s="1410"/>
      <c r="E188" s="1410"/>
      <c r="F188" s="1410"/>
      <c r="G188" s="1410"/>
      <c r="H188" s="1410"/>
      <c r="I188" s="1410"/>
      <c r="J188" s="1410"/>
      <c r="K188" s="1343"/>
      <c r="L188" s="1655" t="s">
        <v>641</v>
      </c>
      <c r="M188" s="1655"/>
      <c r="N188" s="1424" t="e">
        <f>(N186/B184)*100</f>
        <v>#N/A</v>
      </c>
      <c r="O188" s="1422" t="s">
        <v>209</v>
      </c>
      <c r="P188" s="1345"/>
      <c r="Q188" s="1345"/>
      <c r="R188" s="1205"/>
    </row>
    <row r="189" spans="1:18" x14ac:dyDescent="0.2">
      <c r="A189" s="1205"/>
      <c r="B189" s="1205"/>
      <c r="C189" s="1205"/>
      <c r="D189" s="1205"/>
      <c r="E189" s="1206"/>
      <c r="F189" s="1205"/>
      <c r="G189" s="1205"/>
      <c r="H189" s="1205"/>
      <c r="I189" s="1205"/>
      <c r="J189" s="1205"/>
      <c r="K189" s="1205"/>
      <c r="L189" s="1205"/>
      <c r="M189" s="1205"/>
      <c r="N189" s="1205"/>
      <c r="O189" s="1205"/>
      <c r="P189" s="1205"/>
      <c r="Q189" s="1205"/>
      <c r="R189" s="1205"/>
    </row>
    <row r="190" spans="1:18" x14ac:dyDescent="0.2">
      <c r="A190" s="1205"/>
      <c r="B190" s="1205"/>
      <c r="C190" s="1205"/>
      <c r="D190" s="1205"/>
      <c r="E190" s="1206"/>
      <c r="F190" s="1205"/>
      <c r="G190" s="1205"/>
      <c r="H190" s="1205"/>
      <c r="I190" s="1205"/>
      <c r="J190" s="1205"/>
      <c r="K190" s="1205"/>
      <c r="L190" s="1205"/>
      <c r="M190" s="1205"/>
      <c r="N190" s="1205"/>
      <c r="O190" s="1205"/>
      <c r="P190" s="1205"/>
      <c r="Q190" s="1205"/>
      <c r="R190" s="1205"/>
    </row>
    <row r="191" spans="1:18" ht="15.75" thickBot="1" x14ac:dyDescent="0.25">
      <c r="A191" s="1205"/>
      <c r="B191" s="1205"/>
      <c r="C191" s="1205"/>
      <c r="D191" s="1205"/>
      <c r="E191" s="1205"/>
      <c r="F191" s="1205"/>
      <c r="G191" s="1205"/>
      <c r="H191" s="1205"/>
      <c r="I191" s="1205"/>
      <c r="J191" s="1205"/>
      <c r="K191" s="1205"/>
      <c r="L191" s="1205"/>
      <c r="M191" s="1205"/>
      <c r="N191" s="1205"/>
      <c r="O191" s="1205"/>
      <c r="P191" s="1205"/>
      <c r="Q191" s="1205"/>
      <c r="R191" s="1205"/>
    </row>
    <row r="192" spans="1:18" ht="30" customHeight="1" thickBot="1" x14ac:dyDescent="0.25">
      <c r="A192" s="1722" t="s">
        <v>67</v>
      </c>
      <c r="B192" s="1723"/>
      <c r="C192" s="1723"/>
      <c r="D192" s="1723"/>
      <c r="E192" s="1723"/>
      <c r="F192" s="1723"/>
      <c r="G192" s="1723"/>
      <c r="H192" s="1723"/>
      <c r="I192" s="1723"/>
      <c r="J192" s="1205"/>
      <c r="K192" s="1640" t="s">
        <v>63</v>
      </c>
      <c r="L192" s="1641"/>
      <c r="M192" s="1139"/>
      <c r="N192" s="1207">
        <v>0.3</v>
      </c>
      <c r="O192" s="1208">
        <v>1.65</v>
      </c>
      <c r="P192" s="1140"/>
      <c r="Q192" s="1205"/>
      <c r="R192" s="1205"/>
    </row>
    <row r="193" spans="1:18" ht="30" customHeight="1" thickBot="1" x14ac:dyDescent="0.25">
      <c r="A193" s="1209"/>
      <c r="B193" s="1425" t="s">
        <v>728</v>
      </c>
      <c r="C193" s="1426" t="s">
        <v>729</v>
      </c>
      <c r="D193" s="1426" t="s">
        <v>63</v>
      </c>
      <c r="E193" s="1426" t="s">
        <v>4</v>
      </c>
      <c r="F193" s="1426" t="s">
        <v>669</v>
      </c>
      <c r="G193" s="1426" t="s">
        <v>5</v>
      </c>
      <c r="H193" s="1426" t="s">
        <v>68</v>
      </c>
      <c r="I193" s="1234" t="s">
        <v>69</v>
      </c>
      <c r="J193" s="1205"/>
      <c r="K193" s="1635" t="s">
        <v>249</v>
      </c>
      <c r="L193" s="1210" t="e">
        <f>TINV(0.05,N185)</f>
        <v>#N/A</v>
      </c>
      <c r="M193" s="1142"/>
      <c r="N193" s="1719" t="s">
        <v>258</v>
      </c>
      <c r="O193" s="1720"/>
      <c r="P193" s="1721"/>
      <c r="Q193" s="1205"/>
      <c r="R193" s="1205"/>
    </row>
    <row r="194" spans="1:18" ht="30" customHeight="1" thickBot="1" x14ac:dyDescent="0.25">
      <c r="A194" s="1211" t="s">
        <v>2</v>
      </c>
      <c r="B194" s="1212" t="e">
        <f>G92</f>
        <v>#N/A</v>
      </c>
      <c r="C194" s="1237" t="e">
        <f>N184</f>
        <v>#N/A</v>
      </c>
      <c r="D194" s="1713">
        <v>2</v>
      </c>
      <c r="E194" s="1237" t="e">
        <f>(C194*D194)</f>
        <v>#N/A</v>
      </c>
      <c r="F194" s="1716">
        <v>95</v>
      </c>
      <c r="G194" s="1237" t="e">
        <f>B194-C52</f>
        <v>#N/A</v>
      </c>
      <c r="H194" s="1237" t="e">
        <f>ABS(G194)</f>
        <v>#N/A</v>
      </c>
      <c r="I194" s="1213" t="e">
        <f>E194*H194</f>
        <v>#N/A</v>
      </c>
      <c r="J194" s="1205"/>
      <c r="K194" s="1636"/>
      <c r="L194" s="1214" t="e">
        <f>MAX(N156:N182)</f>
        <v>#N/A</v>
      </c>
      <c r="M194" s="1215" t="e">
        <f>IF((L195)&lt;=(N192),"1,65","k=2")</f>
        <v>#N/A</v>
      </c>
      <c r="N194" s="1216" t="s">
        <v>253</v>
      </c>
      <c r="O194" s="1356" t="s">
        <v>254</v>
      </c>
      <c r="P194" s="1217" t="s">
        <v>255</v>
      </c>
      <c r="Q194" s="1205"/>
      <c r="R194" s="1205"/>
    </row>
    <row r="195" spans="1:18" ht="30" customHeight="1" thickBot="1" x14ac:dyDescent="0.25">
      <c r="A195" s="1218" t="s">
        <v>670</v>
      </c>
      <c r="B195" s="1219" t="e">
        <f>B194/16.38706</f>
        <v>#N/A</v>
      </c>
      <c r="C195" s="1219" t="e">
        <f>C194/16.38706</f>
        <v>#N/A</v>
      </c>
      <c r="D195" s="1714"/>
      <c r="E195" s="1219" t="e">
        <f>C195*D194</f>
        <v>#N/A</v>
      </c>
      <c r="F195" s="1717"/>
      <c r="G195" s="1219" t="e">
        <f>G194/16.38706</f>
        <v>#N/A</v>
      </c>
      <c r="H195" s="1219" t="e">
        <f>ABS(G195)</f>
        <v>#N/A</v>
      </c>
      <c r="I195" s="1220" t="e">
        <f>E195*H195</f>
        <v>#N/A</v>
      </c>
      <c r="J195" s="1205"/>
      <c r="K195" s="1221" t="s">
        <v>257</v>
      </c>
      <c r="L195" s="1214" t="e">
        <f>(SQRT(SUM(N156:N159,N161:N164,N166,N168,N170,N172,N174:N179,N181:N182)))/L194</f>
        <v>#N/A</v>
      </c>
      <c r="M195" s="1142"/>
      <c r="N195" s="1222" t="s">
        <v>253</v>
      </c>
      <c r="O195" s="1223" t="s">
        <v>725</v>
      </c>
      <c r="P195" s="1224" t="s">
        <v>256</v>
      </c>
      <c r="Q195" s="1205"/>
      <c r="R195" s="1205"/>
    </row>
    <row r="196" spans="1:18" ht="30" customHeight="1" x14ac:dyDescent="0.2">
      <c r="A196" s="1218" t="s">
        <v>6</v>
      </c>
      <c r="B196" s="1225" t="e">
        <f>G94</f>
        <v>#N/A</v>
      </c>
      <c r="C196" s="1226" t="e">
        <f>(C194/1000)/3.785412</f>
        <v>#N/A</v>
      </c>
      <c r="D196" s="1714"/>
      <c r="E196" s="1225" t="e">
        <f>C196*D194</f>
        <v>#N/A</v>
      </c>
      <c r="F196" s="1717"/>
      <c r="G196" s="1225" t="e">
        <f>(G194/1000)/3.785412</f>
        <v>#N/A</v>
      </c>
      <c r="H196" s="1225" t="e">
        <f>ABS(G196)</f>
        <v>#N/A</v>
      </c>
      <c r="I196" s="1227" t="e">
        <f>E196*H196</f>
        <v>#N/A</v>
      </c>
      <c r="J196" s="1205"/>
      <c r="K196" s="1205"/>
      <c r="L196" s="1205"/>
      <c r="M196" s="1205"/>
      <c r="N196" s="1205"/>
      <c r="O196" s="1205"/>
      <c r="P196" s="1205"/>
      <c r="Q196" s="1205"/>
      <c r="R196" s="1205"/>
    </row>
    <row r="197" spans="1:18" ht="30" customHeight="1" thickBot="1" x14ac:dyDescent="0.25">
      <c r="A197" s="1228" t="s">
        <v>209</v>
      </c>
      <c r="B197" s="1229" t="e">
        <f>(B194/C52)*100</f>
        <v>#N/A</v>
      </c>
      <c r="C197" s="1230" t="e">
        <f>(C196/B196)</f>
        <v>#N/A</v>
      </c>
      <c r="D197" s="1715"/>
      <c r="E197" s="1231" t="e">
        <f>(C197*D194)*100</f>
        <v>#N/A</v>
      </c>
      <c r="F197" s="1718"/>
      <c r="G197" s="1230" t="e">
        <f>(G196*100)/5</f>
        <v>#N/A</v>
      </c>
      <c r="H197" s="1232" t="e">
        <f>(H196*100)/5</f>
        <v>#N/A</v>
      </c>
      <c r="I197" s="1233" t="e">
        <f>(I196*100)/5</f>
        <v>#N/A</v>
      </c>
      <c r="J197" s="1205"/>
      <c r="K197" s="1205"/>
      <c r="L197" s="1205"/>
      <c r="M197" s="1205"/>
      <c r="N197" s="1205"/>
      <c r="O197" s="1205"/>
      <c r="P197" s="1205"/>
      <c r="Q197" s="1205"/>
      <c r="R197" s="1205"/>
    </row>
    <row r="198" spans="1:18" x14ac:dyDescent="0.2">
      <c r="A198" s="1205"/>
      <c r="B198" s="1205"/>
      <c r="C198" s="1205"/>
      <c r="D198" s="1205"/>
      <c r="E198" s="1205"/>
      <c r="F198" s="1205"/>
      <c r="G198" s="1205"/>
      <c r="H198" s="1205"/>
      <c r="I198" s="1205"/>
      <c r="J198" s="1205"/>
      <c r="K198" s="1205"/>
      <c r="L198" s="1205"/>
      <c r="M198" s="1205"/>
      <c r="N198" s="1205"/>
      <c r="O198" s="1205"/>
      <c r="P198" s="1205"/>
      <c r="Q198" s="1205"/>
      <c r="R198" s="1205"/>
    </row>
    <row r="199" spans="1:18" x14ac:dyDescent="0.2">
      <c r="A199" s="1357"/>
      <c r="B199" s="1357"/>
      <c r="C199" s="1357"/>
      <c r="D199" s="1357"/>
      <c r="E199" s="1357"/>
      <c r="F199" s="1357"/>
      <c r="G199" s="1357"/>
      <c r="H199" s="1357"/>
      <c r="I199" s="1357"/>
      <c r="J199" s="1357"/>
      <c r="K199" s="1357"/>
      <c r="L199" s="1357"/>
      <c r="M199" s="1357"/>
      <c r="N199" s="1357"/>
      <c r="O199" s="1357"/>
      <c r="P199" s="1357"/>
      <c r="Q199" s="1357"/>
      <c r="R199" s="1357"/>
    </row>
    <row r="200" spans="1:18" x14ac:dyDescent="0.2">
      <c r="A200" s="1357"/>
      <c r="B200" s="1357"/>
      <c r="C200" s="1357"/>
      <c r="D200" s="1357"/>
      <c r="E200" s="1357"/>
      <c r="F200" s="1357"/>
      <c r="G200" s="1357"/>
      <c r="H200" s="1357"/>
      <c r="I200" s="1357"/>
      <c r="J200" s="1357"/>
      <c r="K200" s="1357"/>
      <c r="L200" s="1357"/>
      <c r="M200" s="1357"/>
      <c r="N200" s="1357"/>
      <c r="O200" s="1357"/>
      <c r="P200" s="1357"/>
      <c r="Q200" s="1357"/>
      <c r="R200" s="1357"/>
    </row>
    <row r="201" spans="1:18" x14ac:dyDescent="0.2">
      <c r="A201" s="1357"/>
      <c r="B201" s="1357"/>
      <c r="C201" s="1357"/>
      <c r="D201" s="1357"/>
      <c r="E201" s="1357"/>
      <c r="F201" s="1357"/>
      <c r="G201" s="1357"/>
      <c r="H201" s="1357"/>
      <c r="I201" s="1357"/>
      <c r="J201" s="1357"/>
      <c r="K201" s="1357"/>
      <c r="L201" s="1357"/>
      <c r="M201" s="1357"/>
      <c r="N201" s="1357"/>
      <c r="O201" s="1357"/>
      <c r="P201" s="1357"/>
      <c r="Q201" s="1357"/>
      <c r="R201" s="1357"/>
    </row>
    <row r="202" spans="1:18" x14ac:dyDescent="0.2">
      <c r="A202" s="1357"/>
      <c r="B202" s="1357"/>
      <c r="C202" s="1357"/>
      <c r="D202" s="1357"/>
      <c r="E202" s="1357"/>
      <c r="F202" s="1357"/>
      <c r="G202" s="1357"/>
      <c r="H202" s="1357"/>
      <c r="I202" s="1357"/>
      <c r="J202" s="1357"/>
      <c r="K202" s="1357"/>
      <c r="L202" s="1357"/>
      <c r="M202" s="1357"/>
      <c r="N202" s="1357"/>
      <c r="O202" s="1357"/>
      <c r="P202" s="1357"/>
      <c r="Q202" s="1357"/>
      <c r="R202" s="1357"/>
    </row>
    <row r="203" spans="1:18" x14ac:dyDescent="0.2">
      <c r="A203" s="1357"/>
      <c r="B203" s="1357"/>
      <c r="C203" s="1357"/>
      <c r="D203" s="1357"/>
      <c r="E203" s="1357"/>
      <c r="F203" s="1357"/>
      <c r="G203" s="1357"/>
      <c r="H203" s="1357"/>
      <c r="I203" s="1357"/>
      <c r="J203" s="1357"/>
      <c r="K203" s="1357"/>
      <c r="L203" s="1357"/>
      <c r="M203" s="1357"/>
      <c r="N203" s="1357"/>
      <c r="O203" s="1357"/>
      <c r="P203" s="1357"/>
      <c r="Q203" s="1357"/>
      <c r="R203" s="1357"/>
    </row>
    <row r="204" spans="1:18" x14ac:dyDescent="0.2">
      <c r="A204" s="1357"/>
      <c r="B204" s="1357"/>
      <c r="C204" s="1357"/>
      <c r="D204" s="1357"/>
      <c r="E204" s="1357"/>
      <c r="F204" s="1357"/>
      <c r="G204" s="1357"/>
      <c r="H204" s="1357"/>
      <c r="I204" s="1357"/>
      <c r="J204" s="1357"/>
      <c r="K204" s="1357"/>
      <c r="L204" s="1357"/>
      <c r="M204" s="1357"/>
      <c r="N204" s="1357"/>
      <c r="O204" s="1357"/>
      <c r="P204" s="1357"/>
      <c r="Q204" s="1357"/>
      <c r="R204" s="1357"/>
    </row>
    <row r="205" spans="1:18" x14ac:dyDescent="0.2">
      <c r="A205" s="1357"/>
      <c r="B205" s="1357"/>
      <c r="C205" s="1357"/>
      <c r="D205" s="1357"/>
      <c r="E205" s="1357"/>
      <c r="F205" s="1357"/>
      <c r="G205" s="1357"/>
      <c r="H205" s="1357"/>
      <c r="I205" s="1357"/>
      <c r="J205" s="1357"/>
      <c r="K205" s="1357"/>
      <c r="L205" s="1357"/>
      <c r="M205" s="1357"/>
      <c r="N205" s="1357"/>
      <c r="O205" s="1357"/>
      <c r="P205" s="1357"/>
      <c r="Q205" s="1357"/>
      <c r="R205" s="1357"/>
    </row>
    <row r="206" spans="1:18" x14ac:dyDescent="0.2">
      <c r="A206" s="1357"/>
      <c r="B206" s="1357"/>
      <c r="C206" s="1357"/>
      <c r="D206" s="1357"/>
      <c r="E206" s="1357"/>
      <c r="F206" s="1357"/>
      <c r="G206" s="1357"/>
      <c r="H206" s="1357"/>
      <c r="I206" s="1357"/>
      <c r="J206" s="1357"/>
      <c r="K206" s="1357"/>
      <c r="L206" s="1357"/>
      <c r="M206" s="1357"/>
      <c r="N206" s="1357"/>
      <c r="O206" s="1357"/>
      <c r="P206" s="1357"/>
      <c r="Q206" s="1357"/>
      <c r="R206" s="1357"/>
    </row>
    <row r="207" spans="1:18" x14ac:dyDescent="0.2">
      <c r="A207" s="1357"/>
      <c r="B207" s="1357"/>
      <c r="C207" s="1357"/>
      <c r="D207" s="1357"/>
      <c r="E207" s="1357"/>
      <c r="F207" s="1357"/>
      <c r="G207" s="1357"/>
      <c r="H207" s="1357"/>
      <c r="I207" s="1357"/>
      <c r="J207" s="1357"/>
      <c r="K207" s="1357"/>
      <c r="L207" s="1357"/>
      <c r="M207" s="1357"/>
      <c r="N207" s="1357"/>
      <c r="O207" s="1357"/>
      <c r="P207" s="1357"/>
      <c r="Q207" s="1357"/>
      <c r="R207" s="1357"/>
    </row>
  </sheetData>
  <sheetProtection password="CF5C" sheet="1" objects="1" scenarios="1"/>
  <mergeCells count="106">
    <mergeCell ref="B62:C62"/>
    <mergeCell ref="A53:B53"/>
    <mergeCell ref="D134:E134"/>
    <mergeCell ref="H134:I134"/>
    <mergeCell ref="J134:K134"/>
    <mergeCell ref="L134:M134"/>
    <mergeCell ref="L147:M147"/>
    <mergeCell ref="L110:M110"/>
    <mergeCell ref="J110:K110"/>
    <mergeCell ref="H110:I110"/>
    <mergeCell ref="D110:E110"/>
    <mergeCell ref="A108:P109"/>
    <mergeCell ref="I64:K64"/>
    <mergeCell ref="L64:N64"/>
    <mergeCell ref="I65:J65"/>
    <mergeCell ref="L65:M65"/>
    <mergeCell ref="I66:J66"/>
    <mergeCell ref="L66:M66"/>
    <mergeCell ref="E101:L101"/>
    <mergeCell ref="L125:M125"/>
    <mergeCell ref="L126:M126"/>
    <mergeCell ref="E107:G107"/>
    <mergeCell ref="D194:D197"/>
    <mergeCell ref="F194:F197"/>
    <mergeCell ref="N193:P193"/>
    <mergeCell ref="A192:I192"/>
    <mergeCell ref="L186:M186"/>
    <mergeCell ref="L187:M187"/>
    <mergeCell ref="L188:M188"/>
    <mergeCell ref="A39:D39"/>
    <mergeCell ref="A42:B42"/>
    <mergeCell ref="A43:B43"/>
    <mergeCell ref="A44:B44"/>
    <mergeCell ref="A45:B45"/>
    <mergeCell ref="L148:M148"/>
    <mergeCell ref="A132:P133"/>
    <mergeCell ref="A51:B51"/>
    <mergeCell ref="C40:D40"/>
    <mergeCell ref="C41:D41"/>
    <mergeCell ref="C42:D42"/>
    <mergeCell ref="C43:D43"/>
    <mergeCell ref="A46:B46"/>
    <mergeCell ref="A47:B47"/>
    <mergeCell ref="A48:B48"/>
    <mergeCell ref="A49:B49"/>
    <mergeCell ref="A50:B50"/>
    <mergeCell ref="A5:R5"/>
    <mergeCell ref="Q6:R6"/>
    <mergeCell ref="A8:A12"/>
    <mergeCell ref="A23:A31"/>
    <mergeCell ref="P34:P35"/>
    <mergeCell ref="A1:B1"/>
    <mergeCell ref="D1:R1"/>
    <mergeCell ref="D3:E3"/>
    <mergeCell ref="G3:H3"/>
    <mergeCell ref="J3:K3"/>
    <mergeCell ref="M3:N3"/>
    <mergeCell ref="P3:R3"/>
    <mergeCell ref="V175:X175"/>
    <mergeCell ref="V174:X174"/>
    <mergeCell ref="N61:O61"/>
    <mergeCell ref="P61:Q61"/>
    <mergeCell ref="A57:F57"/>
    <mergeCell ref="A63:F63"/>
    <mergeCell ref="A41:B41"/>
    <mergeCell ref="S34:S35"/>
    <mergeCell ref="A55:B55"/>
    <mergeCell ref="C55:F55"/>
    <mergeCell ref="I67:J67"/>
    <mergeCell ref="L67:M67"/>
    <mergeCell ref="K34:K35"/>
    <mergeCell ref="L34:L35"/>
    <mergeCell ref="I34:I35"/>
    <mergeCell ref="J34:J35"/>
    <mergeCell ref="B34:B35"/>
    <mergeCell ref="C34:C35"/>
    <mergeCell ref="D34:D35"/>
    <mergeCell ref="E34:E35"/>
    <mergeCell ref="F34:F35"/>
    <mergeCell ref="G34:G35"/>
    <mergeCell ref="O34:O35"/>
    <mergeCell ref="N34:N35"/>
    <mergeCell ref="K193:K194"/>
    <mergeCell ref="A13:A22"/>
    <mergeCell ref="K192:L192"/>
    <mergeCell ref="A68:F68"/>
    <mergeCell ref="A69:A70"/>
    <mergeCell ref="A72:F72"/>
    <mergeCell ref="A73:A74"/>
    <mergeCell ref="A95:B95"/>
    <mergeCell ref="B97:B98"/>
    <mergeCell ref="B99:B100"/>
    <mergeCell ref="D153:E153"/>
    <mergeCell ref="H153:I153"/>
    <mergeCell ref="J153:K153"/>
    <mergeCell ref="L153:M153"/>
    <mergeCell ref="L184:M184"/>
    <mergeCell ref="L185:M185"/>
    <mergeCell ref="A102:I102"/>
    <mergeCell ref="L127:M127"/>
    <mergeCell ref="L128:M128"/>
    <mergeCell ref="B130:D130"/>
    <mergeCell ref="L149:M149"/>
    <mergeCell ref="A151:R152"/>
    <mergeCell ref="M34:M35"/>
    <mergeCell ref="H34:H35"/>
  </mergeCells>
  <conditionalFormatting sqref="G58">
    <cfRule type="colorScale" priority="6">
      <colorScale>
        <cfvo type="min"/>
        <cfvo type="percentile" val="50"/>
        <cfvo type="max"/>
        <color rgb="FFF8696B"/>
        <color rgb="FFFFEB84"/>
        <color rgb="FF63BE7B"/>
      </colorScale>
    </cfRule>
  </conditionalFormatting>
  <conditionalFormatting sqref="D97">
    <cfRule type="containsText" dxfId="7" priority="3" operator="containsText" text="NO AJUSTAR">
      <formula>NOT(ISERROR(SEARCH("NO AJUSTAR",D97)))</formula>
    </cfRule>
    <cfRule type="containsText" dxfId="6" priority="5" operator="containsText" text="AJUSTAR">
      <formula>NOT(ISERROR(SEARCH("AJUSTAR",D97)))</formula>
    </cfRule>
  </conditionalFormatting>
  <conditionalFormatting sqref="D99">
    <cfRule type="containsText" dxfId="5" priority="1" operator="containsText" text="NO AJUSTAR">
      <formula>NOT(ISERROR(SEARCH("NO AJUSTAR",D99)))</formula>
    </cfRule>
    <cfRule type="containsText" dxfId="4" priority="2" operator="containsText" text="AJUSTAR">
      <formula>NOT(ISERROR(SEARCH("AJUSTAR",D99)))</formula>
    </cfRule>
  </conditionalFormatting>
  <pageMargins left="0.70866141732283472" right="0.70866141732283472" top="0.74803149606299213" bottom="0.74803149606299213" header="0.31496062992125984" footer="0.31496062992125984"/>
  <pageSetup scale="10" pageOrder="overThenDown" orientation="portrait" horizontalDpi="4294967293" r:id="rId1"/>
  <headerFooter>
    <oddFooter>&amp;RRT03-F33 Vr.6 (2021-05-24)</oddFooter>
  </headerFooter>
  <drawing r:id="rId2"/>
  <legacyDrawing r:id="rId3"/>
  <extLst>
    <ext xmlns:x14="http://schemas.microsoft.com/office/spreadsheetml/2009/9/main" uri="{CCE6A557-97BC-4b89-ADB6-D9C93CAAB3DF}">
      <x14:dataValidations xmlns:xm="http://schemas.microsoft.com/office/excel/2006/main" count="17">
        <x14:dataValidation type="list" allowBlank="1" showInputMessage="1" showErrorMessage="1" xr:uid="{00000000-0002-0000-0200-000000000000}">
          <x14:formula1>
            <xm:f>'DATOS &amp;'!$A$39:$A$40</xm:f>
          </x14:formula1>
          <xm:sqref>O91</xm:sqref>
        </x14:dataValidation>
        <x14:dataValidation type="list" allowBlank="1" showInputMessage="1" showErrorMessage="1" xr:uid="{00000000-0002-0000-0200-000001000000}">
          <x14:formula1>
            <xm:f>'DATOS &amp;'!$A$39:$A$46</xm:f>
          </x14:formula1>
          <xm:sqref>H84</xm:sqref>
        </x14:dataValidation>
        <x14:dataValidation type="list" allowBlank="1" showInputMessage="1" showErrorMessage="1" xr:uid="{00000000-0002-0000-0200-000002000000}">
          <x14:formula1>
            <xm:f>'DATOS &amp;'!$C$37:$C$48</xm:f>
          </x14:formula1>
          <xm:sqref>S8:S12</xm:sqref>
        </x14:dataValidation>
        <x14:dataValidation type="list" allowBlank="1" showInputMessage="1" showErrorMessage="1" xr:uid="{00000000-0002-0000-0200-000003000000}">
          <x14:formula1>
            <xm:f>'DATOS &amp;'!$C$170:$C$180</xm:f>
          </x14:formula1>
          <xm:sqref>S13:S22</xm:sqref>
        </x14:dataValidation>
        <x14:dataValidation type="list" allowBlank="1" showInputMessage="1" showErrorMessage="1" xr:uid="{00000000-0002-0000-0200-000004000000}">
          <x14:formula1>
            <xm:f>'DATOS &amp;'!$P$9:$P$13</xm:f>
          </x14:formula1>
          <xm:sqref>G55</xm:sqref>
        </x14:dataValidation>
        <x14:dataValidation type="list" allowBlank="1" showInputMessage="1" showErrorMessage="1" xr:uid="{00000000-0002-0000-0200-000005000000}">
          <x14:formula1>
            <xm:f>'DATOS &amp;'!$B$158:$B$163</xm:f>
          </x14:formula1>
          <xm:sqref>G58</xm:sqref>
        </x14:dataValidation>
        <x14:dataValidation type="list" allowBlank="1" showInputMessage="1" showErrorMessage="1" xr:uid="{00000000-0002-0000-0200-000006000000}">
          <x14:formula1>
            <xm:f>'DATOS &amp;'!$D$7:$D$9</xm:f>
          </x14:formula1>
          <xm:sqref>S3</xm:sqref>
        </x14:dataValidation>
        <x14:dataValidation type="list" allowBlank="1" showInputMessage="1" showErrorMessage="1" xr:uid="{00000000-0002-0000-0200-000007000000}">
          <x14:formula1>
            <xm:f>'DATOS &amp;'!$C$137:$C$152</xm:f>
          </x14:formula1>
          <xm:sqref>S37:S51</xm:sqref>
        </x14:dataValidation>
        <x14:dataValidation type="list" allowBlank="1" showInputMessage="1" showErrorMessage="1" xr:uid="{00000000-0002-0000-0200-000008000000}">
          <x14:formula1>
            <xm:f>'DATOS &amp;'!$C$131:$C$132</xm:f>
          </x14:formula1>
          <xm:sqref>S36</xm:sqref>
        </x14:dataValidation>
        <x14:dataValidation type="list" allowBlank="1" showInputMessage="1" showErrorMessage="1" xr:uid="{00000000-0002-0000-0200-000009000000}">
          <x14:formula1>
            <xm:f>'DATOS &amp;'!$C$121:$C$127</xm:f>
          </x14:formula1>
          <xm:sqref>S34:S35</xm:sqref>
        </x14:dataValidation>
        <x14:dataValidation type="list" allowBlank="1" showInputMessage="1" showErrorMessage="1" xr:uid="{00000000-0002-0000-0200-00000A000000}">
          <x14:formula1>
            <xm:f>'DATOS &amp;'!$C$112:$C$117</xm:f>
          </x14:formula1>
          <xm:sqref>S33</xm:sqref>
        </x14:dataValidation>
        <x14:dataValidation type="list" allowBlank="1" showInputMessage="1" showErrorMessage="1" xr:uid="{00000000-0002-0000-0200-00000B000000}">
          <x14:formula1>
            <xm:f>'DATOS &amp;'!$C$184:$C$186</xm:f>
          </x14:formula1>
          <xm:sqref>S7</xm:sqref>
        </x14:dataValidation>
        <x14:dataValidation type="list" allowBlank="1" showInputMessage="1" showErrorMessage="1" xr:uid="{00000000-0002-0000-0200-00000C000000}">
          <x14:formula1>
            <xm:f>'DATOS &amp;'!$C$55:$C$108</xm:f>
          </x14:formula1>
          <xm:sqref>S23</xm:sqref>
        </x14:dataValidation>
        <x14:dataValidation type="list" allowBlank="1" showInputMessage="1" showErrorMessage="1" xr:uid="{00000000-0002-0000-0200-00000D000000}">
          <x14:formula1>
            <xm:f>'DATOS &amp;'!$C$55:$C$109</xm:f>
          </x14:formula1>
          <xm:sqref>S24:S31</xm:sqref>
        </x14:dataValidation>
        <x14:dataValidation type="list" allowBlank="1" showInputMessage="1" showErrorMessage="1" xr:uid="{00000000-0002-0000-0200-00000E000000}">
          <x14:formula1>
            <xm:f>'DATOS &amp;'!$C$191:$C$193</xm:f>
          </x14:formula1>
          <xm:sqref>S32</xm:sqref>
        </x14:dataValidation>
        <x14:dataValidation type="list" allowBlank="1" showInputMessage="1" showErrorMessage="1" xr:uid="{00000000-0002-0000-0200-00000F000000}">
          <x14:formula1>
            <xm:f>'DATOS &amp;'!$B$14:$B$16</xm:f>
          </x14:formula1>
          <xm:sqref>E41</xm:sqref>
        </x14:dataValidation>
        <x14:dataValidation type="list" allowBlank="1" showInputMessage="1" showErrorMessage="1" xr:uid="{00000000-0002-0000-0200-000010000000}">
          <x14:formula1>
            <xm:f>'DATOS &amp;'!$A$172:$A$173</xm:f>
          </x14:formula1>
          <xm:sqref>H79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66CC"/>
  </sheetPr>
  <dimension ref="A1:N15"/>
  <sheetViews>
    <sheetView showGridLines="0" view="pageBreakPreview" zoomScale="80" zoomScaleNormal="80" zoomScaleSheetLayoutView="80" workbookViewId="0">
      <selection activeCell="D8" sqref="D8"/>
    </sheetView>
  </sheetViews>
  <sheetFormatPr baseColWidth="10" defaultColWidth="10.85546875" defaultRowHeight="15" x14ac:dyDescent="0.25"/>
  <cols>
    <col min="1" max="2" width="14.5703125" style="567" customWidth="1"/>
    <col min="3" max="16384" width="10.85546875" style="567"/>
  </cols>
  <sheetData>
    <row r="1" spans="1:14" ht="81.75" customHeight="1" x14ac:dyDescent="0.25">
      <c r="A1" s="1750"/>
      <c r="B1" s="1750"/>
      <c r="C1" s="1750"/>
      <c r="D1" s="1751" t="s">
        <v>210</v>
      </c>
      <c r="E1" s="1752"/>
      <c r="F1" s="1752"/>
      <c r="G1" s="1752"/>
      <c r="H1" s="1752"/>
      <c r="I1" s="1752"/>
      <c r="J1" s="1752"/>
      <c r="K1" s="1752"/>
      <c r="L1" s="1752"/>
      <c r="M1" s="1752"/>
      <c r="N1" s="1753"/>
    </row>
    <row r="2" spans="1:14" ht="17.25" customHeight="1" thickBot="1" x14ac:dyDescent="0.3">
      <c r="A2" s="825"/>
      <c r="B2" s="825"/>
      <c r="C2" s="825"/>
      <c r="D2" s="825"/>
      <c r="E2" s="825"/>
      <c r="F2" s="825"/>
      <c r="G2" s="825"/>
      <c r="H2" s="825"/>
      <c r="I2" s="825"/>
      <c r="J2" s="825"/>
      <c r="K2" s="825"/>
      <c r="L2" s="825"/>
      <c r="M2" s="825"/>
      <c r="N2" s="825"/>
    </row>
    <row r="3" spans="1:14" ht="15.75" thickBot="1" x14ac:dyDescent="0.3">
      <c r="M3" s="601" t="s">
        <v>154</v>
      </c>
    </row>
    <row r="4" spans="1:14" ht="22.5" customHeight="1" thickBot="1" x14ac:dyDescent="0.3">
      <c r="B4" s="599" t="s">
        <v>434</v>
      </c>
      <c r="C4" s="1760">
        <v>43798</v>
      </c>
      <c r="D4" s="1760"/>
      <c r="E4" s="1761"/>
      <c r="H4" s="599" t="s">
        <v>434</v>
      </c>
      <c r="I4" s="1760">
        <v>44056</v>
      </c>
      <c r="J4" s="1760"/>
      <c r="K4" s="1761"/>
      <c r="M4" s="600">
        <f>'RT03-F33 &amp; '!M58</f>
        <v>0</v>
      </c>
    </row>
    <row r="5" spans="1:14" ht="15.75" x14ac:dyDescent="0.25">
      <c r="B5" s="1754" t="s">
        <v>195</v>
      </c>
      <c r="C5" s="1755"/>
      <c r="D5" s="1755"/>
      <c r="E5" s="1756"/>
      <c r="F5" s="320"/>
      <c r="H5" s="1754" t="s">
        <v>195</v>
      </c>
      <c r="I5" s="1755"/>
      <c r="J5" s="1755"/>
      <c r="K5" s="1756"/>
      <c r="L5" s="320"/>
    </row>
    <row r="6" spans="1:14" ht="15.75" x14ac:dyDescent="0.25">
      <c r="B6" s="1757" t="s">
        <v>175</v>
      </c>
      <c r="C6" s="1758"/>
      <c r="D6" s="1758"/>
      <c r="E6" s="1759"/>
      <c r="F6" s="320"/>
      <c r="H6" s="1757" t="s">
        <v>175</v>
      </c>
      <c r="I6" s="1758"/>
      <c r="J6" s="1758"/>
      <c r="K6" s="1759"/>
      <c r="L6" s="320"/>
    </row>
    <row r="7" spans="1:14" ht="15.75" x14ac:dyDescent="0.25">
      <c r="B7" s="826">
        <v>18501</v>
      </c>
      <c r="C7" s="827" t="s">
        <v>176</v>
      </c>
      <c r="D7" s="827">
        <v>19336.599999999999</v>
      </c>
      <c r="E7" s="828" t="s">
        <v>2</v>
      </c>
      <c r="F7" s="313"/>
      <c r="H7" s="826">
        <v>18501</v>
      </c>
      <c r="I7" s="827" t="s">
        <v>176</v>
      </c>
      <c r="J7" s="827">
        <v>19336.599999999999</v>
      </c>
      <c r="K7" s="828" t="s">
        <v>2</v>
      </c>
      <c r="L7" s="313"/>
    </row>
    <row r="8" spans="1:14" ht="18" x14ac:dyDescent="0.25">
      <c r="B8" s="829">
        <v>1128.29</v>
      </c>
      <c r="C8" s="827" t="s">
        <v>176</v>
      </c>
      <c r="D8" s="827">
        <v>1179.99</v>
      </c>
      <c r="E8" s="828" t="s">
        <v>507</v>
      </c>
      <c r="F8" s="317"/>
      <c r="H8" s="829">
        <v>1128.29</v>
      </c>
      <c r="I8" s="827" t="s">
        <v>176</v>
      </c>
      <c r="J8" s="827">
        <v>1179.99</v>
      </c>
      <c r="K8" s="828" t="s">
        <v>507</v>
      </c>
      <c r="L8" s="317"/>
    </row>
    <row r="9" spans="1:14" ht="16.5" thickBot="1" x14ac:dyDescent="0.3">
      <c r="B9" s="829">
        <v>4.8917000000000002</v>
      </c>
      <c r="C9" s="827" t="s">
        <v>176</v>
      </c>
      <c r="D9" s="827">
        <v>5.1082000000000001</v>
      </c>
      <c r="E9" s="828" t="s">
        <v>6</v>
      </c>
      <c r="F9" s="317"/>
      <c r="H9" s="829">
        <v>4.8917000000000002</v>
      </c>
      <c r="I9" s="827" t="s">
        <v>176</v>
      </c>
      <c r="J9" s="827">
        <v>5.1082000000000001</v>
      </c>
      <c r="K9" s="828" t="s">
        <v>6</v>
      </c>
      <c r="L9" s="317"/>
    </row>
    <row r="10" spans="1:14" ht="19.5" thickBot="1" x14ac:dyDescent="0.3">
      <c r="B10" s="569" t="s">
        <v>137</v>
      </c>
      <c r="C10" s="570" t="s">
        <v>2</v>
      </c>
      <c r="D10" s="570" t="s">
        <v>364</v>
      </c>
      <c r="E10" s="571" t="s">
        <v>6</v>
      </c>
      <c r="F10" s="572" t="s">
        <v>209</v>
      </c>
      <c r="H10" s="569" t="s">
        <v>137</v>
      </c>
      <c r="I10" s="570" t="s">
        <v>2</v>
      </c>
      <c r="J10" s="570" t="s">
        <v>364</v>
      </c>
      <c r="K10" s="571" t="s">
        <v>6</v>
      </c>
      <c r="L10" s="572" t="s">
        <v>209</v>
      </c>
    </row>
    <row r="11" spans="1:14" ht="16.5" thickBot="1" x14ac:dyDescent="0.3">
      <c r="B11" s="568"/>
      <c r="C11" s="573"/>
      <c r="D11" s="573"/>
      <c r="E11" s="574"/>
      <c r="F11" s="575"/>
      <c r="H11" s="832"/>
      <c r="I11" s="833"/>
      <c r="J11" s="833"/>
      <c r="K11" s="834"/>
      <c r="L11" s="835"/>
    </row>
    <row r="12" spans="1:14" ht="15.75" thickBot="1" x14ac:dyDescent="0.3">
      <c r="B12" s="829">
        <v>1</v>
      </c>
      <c r="C12" s="830">
        <v>4.5999999999999996</v>
      </c>
      <c r="D12" s="827">
        <v>0.28000000000000003</v>
      </c>
      <c r="E12" s="828">
        <v>1.1999999999999999E-3</v>
      </c>
      <c r="F12" s="831" t="e">
        <f>(C12/M4)*100</f>
        <v>#DIV/0!</v>
      </c>
      <c r="H12" s="962">
        <v>1</v>
      </c>
      <c r="I12" s="963">
        <v>5</v>
      </c>
      <c r="J12" s="964">
        <v>0.31</v>
      </c>
      <c r="K12" s="965">
        <v>1.2999999999999999E-3</v>
      </c>
      <c r="L12" s="966" t="e">
        <f>(I12/M4)*100</f>
        <v>#DIV/0!</v>
      </c>
      <c r="M12" s="598"/>
    </row>
    <row r="13" spans="1:14" ht="15.75" thickBot="1" x14ac:dyDescent="0.3">
      <c r="B13" s="576"/>
      <c r="C13" s="577"/>
      <c r="D13" s="578"/>
      <c r="E13" s="579"/>
      <c r="F13" s="580"/>
      <c r="H13" s="836"/>
      <c r="I13" s="837"/>
      <c r="J13" s="838"/>
      <c r="K13" s="839"/>
      <c r="L13" s="840"/>
    </row>
    <row r="15" spans="1:14" x14ac:dyDescent="0.25">
      <c r="L15" s="614"/>
    </row>
  </sheetData>
  <sheetProtection algorithmName="SHA-512" hashValue="ThbSyPQL4WF/7bjzODG17dzlFvq84qJD1ZVYaSMzGdCGyiYlMi9VFwM98INweIdJhwvhhtp5iJtYW/isfnG1mg==" saltValue="IVMavjfkCwjaxOl9QIi5eQ==" spinCount="100000" sheet="1" objects="1" scenarios="1"/>
  <mergeCells count="8">
    <mergeCell ref="A1:C1"/>
    <mergeCell ref="D1:N1"/>
    <mergeCell ref="B5:E5"/>
    <mergeCell ref="B6:E6"/>
    <mergeCell ref="C4:E4"/>
    <mergeCell ref="I4:K4"/>
    <mergeCell ref="H5:K5"/>
    <mergeCell ref="H6:K6"/>
  </mergeCells>
  <pageMargins left="0.70866141732283472" right="0.70866141732283472" top="0.74803149606299213" bottom="0.74803149606299213" header="0.31496062992125984" footer="0.31496062992125984"/>
  <pageSetup scale="56" orientation="portrait" r:id="rId1"/>
  <headerFooter>
    <oddFooter>&amp;RRT03-F11 Vr.10 (2021-02-04)</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66CC"/>
  </sheetPr>
  <dimension ref="A1:M44"/>
  <sheetViews>
    <sheetView showGridLines="0" view="pageBreakPreview" zoomScale="80" zoomScaleNormal="70" zoomScaleSheetLayoutView="80" workbookViewId="0">
      <selection activeCell="F7" sqref="F7"/>
    </sheetView>
  </sheetViews>
  <sheetFormatPr baseColWidth="10" defaultColWidth="11.42578125" defaultRowHeight="15" x14ac:dyDescent="0.2"/>
  <cols>
    <col min="1" max="1" width="11.42578125" style="231"/>
    <col min="2" max="2" width="20.28515625" style="231" customWidth="1"/>
    <col min="3" max="12" width="18.7109375" style="231" customWidth="1"/>
    <col min="13" max="16384" width="11.42578125" style="231"/>
  </cols>
  <sheetData>
    <row r="1" spans="1:13" ht="93" customHeight="1" x14ac:dyDescent="0.2">
      <c r="A1" s="1769"/>
      <c r="B1" s="1769"/>
      <c r="C1" s="1769"/>
      <c r="D1" s="1751" t="s">
        <v>210</v>
      </c>
      <c r="E1" s="1770"/>
      <c r="F1" s="1770"/>
      <c r="G1" s="1770"/>
      <c r="H1" s="1770"/>
      <c r="I1" s="1770"/>
      <c r="J1" s="1770"/>
      <c r="K1" s="1770"/>
      <c r="L1" s="1770"/>
      <c r="M1" s="1771"/>
    </row>
    <row r="2" spans="1:13" ht="9" customHeight="1" thickBot="1" x14ac:dyDescent="0.25"/>
    <row r="3" spans="1:13" ht="15" customHeight="1" x14ac:dyDescent="0.2">
      <c r="B3" s="1772" t="s">
        <v>410</v>
      </c>
      <c r="C3" s="1773"/>
      <c r="D3" s="1773"/>
      <c r="E3" s="1773"/>
      <c r="F3" s="1773"/>
      <c r="G3" s="1773"/>
      <c r="H3" s="1773"/>
      <c r="I3" s="1773"/>
      <c r="J3" s="1773"/>
      <c r="K3" s="1773"/>
      <c r="L3" s="1773"/>
    </row>
    <row r="4" spans="1:13" ht="23.25" customHeight="1" thickBot="1" x14ac:dyDescent="0.25">
      <c r="B4" s="1774"/>
      <c r="C4" s="1775"/>
      <c r="D4" s="1775"/>
      <c r="E4" s="1775"/>
      <c r="F4" s="1775"/>
      <c r="G4" s="1775"/>
      <c r="H4" s="1775"/>
      <c r="I4" s="1775"/>
      <c r="J4" s="1775"/>
      <c r="K4" s="1775"/>
      <c r="L4" s="1775"/>
    </row>
    <row r="5" spans="1:13" ht="23.25" customHeight="1" thickBot="1" x14ac:dyDescent="0.25"/>
    <row r="6" spans="1:13" s="233" customFormat="1" ht="39" customHeight="1" thickBot="1" x14ac:dyDescent="0.25">
      <c r="B6" s="1766" t="s">
        <v>228</v>
      </c>
      <c r="C6" s="1767"/>
      <c r="D6" s="1767"/>
      <c r="E6" s="1767"/>
      <c r="F6" s="1768"/>
      <c r="G6" s="232"/>
      <c r="H6" s="1766" t="s">
        <v>509</v>
      </c>
      <c r="I6" s="1767"/>
      <c r="J6" s="1767"/>
      <c r="K6" s="1767"/>
      <c r="L6" s="1768"/>
    </row>
    <row r="7" spans="1:13" s="234" customFormat="1" ht="30" customHeight="1" x14ac:dyDescent="0.25">
      <c r="B7" s="841" t="s">
        <v>510</v>
      </c>
      <c r="C7" s="588"/>
      <c r="D7" s="588" t="s">
        <v>465</v>
      </c>
      <c r="E7" s="588"/>
      <c r="F7" s="589">
        <f>'RT03-F33 &amp; '!G58</f>
        <v>0</v>
      </c>
      <c r="H7" s="841" t="s">
        <v>510</v>
      </c>
      <c r="I7" s="588"/>
      <c r="J7" s="588" t="s">
        <v>465</v>
      </c>
      <c r="K7" s="588"/>
      <c r="L7" s="589" t="e">
        <f>#REF!</f>
        <v>#REF!</v>
      </c>
    </row>
    <row r="8" spans="1:13" s="234" customFormat="1" ht="30" customHeight="1" x14ac:dyDescent="0.25">
      <c r="B8" s="590" t="s">
        <v>358</v>
      </c>
      <c r="C8" s="583" t="s">
        <v>411</v>
      </c>
      <c r="D8" s="583" t="s">
        <v>1</v>
      </c>
      <c r="E8" s="583" t="s">
        <v>379</v>
      </c>
      <c r="F8" s="584" t="s">
        <v>12</v>
      </c>
      <c r="G8" s="310"/>
      <c r="H8" s="590" t="s">
        <v>358</v>
      </c>
      <c r="I8" s="583" t="s">
        <v>411</v>
      </c>
      <c r="J8" s="583" t="s">
        <v>1</v>
      </c>
      <c r="K8" s="583" t="s">
        <v>379</v>
      </c>
      <c r="L8" s="584" t="s">
        <v>12</v>
      </c>
    </row>
    <row r="9" spans="1:13" s="234" customFormat="1" ht="32.1" customHeight="1" x14ac:dyDescent="0.25">
      <c r="B9" s="1764" t="e">
        <f>'RT03-F33 &amp; '!M3</f>
        <v>#N/A</v>
      </c>
      <c r="C9" s="587" t="s">
        <v>359</v>
      </c>
      <c r="D9" s="585"/>
      <c r="E9" s="585"/>
      <c r="F9" s="586"/>
      <c r="G9" s="310"/>
      <c r="H9" s="1764" t="e">
        <f>#REF!</f>
        <v>#REF!</v>
      </c>
      <c r="I9" s="587" t="s">
        <v>359</v>
      </c>
      <c r="J9" s="585"/>
      <c r="K9" s="585"/>
      <c r="L9" s="586"/>
    </row>
    <row r="10" spans="1:13" s="234" customFormat="1" ht="32.1" customHeight="1" x14ac:dyDescent="0.25">
      <c r="B10" s="1764"/>
      <c r="C10" s="587" t="s">
        <v>360</v>
      </c>
      <c r="D10" s="585"/>
      <c r="E10" s="585"/>
      <c r="F10" s="586"/>
      <c r="G10" s="310"/>
      <c r="H10" s="1764"/>
      <c r="I10" s="587" t="s">
        <v>360</v>
      </c>
      <c r="J10" s="585"/>
      <c r="K10" s="585"/>
      <c r="L10" s="586"/>
    </row>
    <row r="11" spans="1:13" s="234" customFormat="1" ht="32.1" customHeight="1" x14ac:dyDescent="0.25">
      <c r="B11" s="1764"/>
      <c r="C11" s="587" t="s">
        <v>361</v>
      </c>
      <c r="D11" s="592" t="e">
        <f>$D$9+((VLOOKUP('RT03-F33 &amp; '!$G$58,'DATOS &amp;'!$B$158:$O$164,9,FALSE))*$D$9+(VLOOKUP('RT03-F33 &amp; '!$G$58,'DATOS &amp;'!$B$158:$O$164,10,FALSE)))</f>
        <v>#N/A</v>
      </c>
      <c r="E11" s="593" t="e">
        <f>$E$9+((VLOOKUP('RT03-F33 &amp; '!$G$58,'DATOS &amp;'!$B$158:$O$164,11,FALSE))*$E$9+(VLOOKUP('RT03-F33 &amp; '!$G$58,'DATOS &amp;'!$B$158:$O$164,12,FALSE)))</f>
        <v>#N/A</v>
      </c>
      <c r="F11" s="594" t="e">
        <f>$F$9+((VLOOKUP('RT03-F33 &amp; '!$G$58,'DATOS &amp;'!$B$158:$O$164,13,FALSE))*$F$9+(VLOOKUP('RT03-F33 &amp; '!$G$58,'DATOS &amp;'!$B$158:$O$164,14,FALSE)))</f>
        <v>#N/A</v>
      </c>
      <c r="G11" s="310"/>
      <c r="H11" s="1764"/>
      <c r="I11" s="587" t="s">
        <v>361</v>
      </c>
      <c r="J11" s="592" t="e">
        <f>$J$9+((VLOOKUP(#REF!,'DATOS &amp;'!$B$158:$O$164,9,FALSE))*$J$9+(VLOOKUP(#REF!,'DATOS &amp;'!$B$158:$O$164,10,FALSE)))</f>
        <v>#REF!</v>
      </c>
      <c r="K11" s="592" t="e">
        <f>$K$9+((VLOOKUP(#REF!,'DATOS &amp;'!$B$158:$O$164,11,FALSE))*$K$9+(VLOOKUP(#REF!,'DATOS &amp;'!$B$158:$O$164,12,FALSE)))</f>
        <v>#REF!</v>
      </c>
      <c r="L11" s="594" t="e">
        <f>$L$9+((VLOOKUP(#REF!,'DATOS &amp;'!$B$158:$O$164,13,FALSE))*$L$9+(VLOOKUP(#REF!,'DATOS &amp;'!$B$158:$O$164,14,FALSE)))</f>
        <v>#REF!</v>
      </c>
    </row>
    <row r="12" spans="1:13" s="234" customFormat="1" ht="32.1" customHeight="1" thickBot="1" x14ac:dyDescent="0.3">
      <c r="B12" s="1765"/>
      <c r="C12" s="591" t="s">
        <v>362</v>
      </c>
      <c r="D12" s="595" t="e">
        <f>$D$10+((VLOOKUP('RT03-F33 &amp; '!$G$58,'DATOS &amp;'!$B$158:$O$164,9,FALSE))*$D$10+(VLOOKUP('RT03-F33 &amp; '!$G$58,'DATOS &amp;'!$B$158:$O$164,10,FALSE)))</f>
        <v>#N/A</v>
      </c>
      <c r="E12" s="596" t="e">
        <f>$E$10+((VLOOKUP('RT03-F33 &amp; '!$G$58,'DATOS &amp;'!$B$158:$O$164,11,FALSE))*$E$10+(VLOOKUP('RT03-F33 &amp; '!$G$58,'DATOS &amp;'!$B$158:$O$164,12,FALSE)))</f>
        <v>#N/A</v>
      </c>
      <c r="F12" s="597" t="e">
        <f>$F$10+((VLOOKUP('RT03-F33 &amp; '!$G$58,'DATOS &amp;'!$B$158:$O$164,13,FALSE))*$F$10+(VLOOKUP('RT03-F33 &amp; '!$G$58,'DATOS &amp;'!$B$158:$O$164,14,FALSE)))</f>
        <v>#N/A</v>
      </c>
      <c r="G12" s="310"/>
      <c r="H12" s="1765"/>
      <c r="I12" s="591" t="s">
        <v>362</v>
      </c>
      <c r="J12" s="595" t="e">
        <f>$J$10+((VLOOKUP(#REF!,'DATOS &amp;'!$B$158:$O$164,9,FALSE))*$J$10+(VLOOKUP(#REF!,'DATOS &amp;'!$B$158:$O$164,10,FALSE)))</f>
        <v>#REF!</v>
      </c>
      <c r="K12" s="595" t="e">
        <f>$K$10+((VLOOKUP(#REF!,'DATOS &amp;'!$B$158:$O$164,11,FALSE))*$K$10+(VLOOKUP(#REF!,'DATOS &amp;'!$B$158:$O$164,12,FALSE)))</f>
        <v>#REF!</v>
      </c>
      <c r="L12" s="597" t="e">
        <f>$L$10+((VLOOKUP(#REF!,'DATOS &amp;'!$B$158:$O$164,13,FALSE))*$L$10+(VLOOKUP(#REF!,'DATOS &amp;'!$B$158:$O$164,14,FALSE)))</f>
        <v>#REF!</v>
      </c>
    </row>
    <row r="13" spans="1:13" s="234" customFormat="1" ht="30" customHeight="1" x14ac:dyDescent="0.2">
      <c r="C13" s="235"/>
      <c r="D13" s="236"/>
      <c r="E13" s="236"/>
      <c r="F13" s="236"/>
      <c r="H13" s="231"/>
      <c r="I13" s="231"/>
      <c r="J13" s="231"/>
      <c r="K13" s="231"/>
      <c r="L13" s="231"/>
    </row>
    <row r="14" spans="1:13" s="234" customFormat="1" ht="30" customHeight="1" x14ac:dyDescent="0.25">
      <c r="C14" s="235"/>
      <c r="D14" s="236"/>
      <c r="E14" s="236"/>
      <c r="F14" s="236"/>
    </row>
    <row r="15" spans="1:13" s="234" customFormat="1" ht="30" customHeight="1" x14ac:dyDescent="0.25">
      <c r="B15" s="1763"/>
      <c r="C15" s="1763"/>
      <c r="D15" s="1763"/>
      <c r="E15" s="1763"/>
      <c r="F15" s="1763"/>
      <c r="G15" s="237"/>
    </row>
    <row r="16" spans="1:13" s="234" customFormat="1" ht="30" customHeight="1" x14ac:dyDescent="0.25">
      <c r="B16" s="238"/>
      <c r="C16" s="237"/>
      <c r="D16" s="238"/>
      <c r="E16" s="238"/>
      <c r="F16" s="238"/>
      <c r="G16" s="237"/>
      <c r="H16" s="238"/>
      <c r="I16" s="237"/>
      <c r="J16" s="238"/>
      <c r="K16" s="238"/>
      <c r="L16" s="238"/>
    </row>
    <row r="17" spans="2:12" s="234" customFormat="1" ht="30" customHeight="1" x14ac:dyDescent="0.25">
      <c r="B17" s="1762"/>
      <c r="C17" s="239"/>
      <c r="D17" s="240"/>
      <c r="E17" s="240"/>
      <c r="F17" s="240"/>
      <c r="G17" s="237"/>
      <c r="H17" s="1762"/>
      <c r="I17" s="239"/>
      <c r="J17" s="240"/>
      <c r="K17" s="240"/>
      <c r="L17" s="240"/>
    </row>
    <row r="18" spans="2:12" s="234" customFormat="1" ht="30" customHeight="1" x14ac:dyDescent="0.25">
      <c r="B18" s="1762"/>
      <c r="C18" s="241"/>
      <c r="D18" s="242"/>
      <c r="E18" s="242"/>
      <c r="F18" s="242"/>
      <c r="G18" s="237"/>
      <c r="H18" s="1762"/>
      <c r="I18" s="241"/>
      <c r="J18" s="242"/>
      <c r="K18" s="242"/>
      <c r="L18" s="242"/>
    </row>
    <row r="19" spans="2:12" s="234" customFormat="1" ht="30" customHeight="1" x14ac:dyDescent="0.25">
      <c r="B19" s="1762"/>
      <c r="C19" s="241"/>
      <c r="D19" s="242"/>
      <c r="E19" s="242"/>
      <c r="F19" s="242"/>
      <c r="G19" s="237"/>
      <c r="H19" s="1762"/>
      <c r="I19" s="241"/>
      <c r="J19" s="242"/>
      <c r="K19" s="242"/>
      <c r="L19" s="242"/>
    </row>
    <row r="20" spans="2:12" s="234" customFormat="1" ht="30" customHeight="1" x14ac:dyDescent="0.25">
      <c r="B20" s="1762"/>
      <c r="C20" s="239"/>
      <c r="D20" s="240"/>
      <c r="E20" s="240"/>
      <c r="F20" s="240"/>
      <c r="G20" s="237"/>
      <c r="H20" s="1762"/>
      <c r="I20" s="239"/>
      <c r="J20" s="240"/>
      <c r="K20" s="240"/>
      <c r="L20" s="240"/>
    </row>
    <row r="21" spans="2:12" s="234" customFormat="1" ht="30" customHeight="1" x14ac:dyDescent="0.25">
      <c r="B21" s="1762"/>
      <c r="C21" s="239"/>
      <c r="D21" s="240"/>
      <c r="E21" s="240"/>
      <c r="F21" s="240"/>
      <c r="G21" s="237"/>
      <c r="H21" s="1762"/>
      <c r="I21" s="239"/>
      <c r="J21" s="240"/>
      <c r="K21" s="240"/>
      <c r="L21" s="240"/>
    </row>
    <row r="22" spans="2:12" s="234" customFormat="1" ht="30" customHeight="1" x14ac:dyDescent="0.25">
      <c r="B22" s="237"/>
      <c r="C22" s="237"/>
      <c r="D22" s="237"/>
      <c r="E22" s="237"/>
      <c r="F22" s="237"/>
      <c r="G22" s="237"/>
      <c r="H22" s="237"/>
      <c r="I22" s="237"/>
      <c r="J22" s="237"/>
      <c r="K22" s="237"/>
      <c r="L22" s="237"/>
    </row>
    <row r="23" spans="2:12" s="234" customFormat="1" ht="30" customHeight="1" x14ac:dyDescent="0.25">
      <c r="B23" s="237"/>
      <c r="C23" s="237"/>
      <c r="D23" s="237"/>
      <c r="E23" s="237"/>
      <c r="F23" s="237"/>
      <c r="G23" s="237"/>
      <c r="H23" s="237"/>
      <c r="I23" s="237"/>
      <c r="J23" s="237"/>
      <c r="K23" s="237"/>
      <c r="L23" s="237"/>
    </row>
    <row r="24" spans="2:12" s="234" customFormat="1" ht="30" customHeight="1" x14ac:dyDescent="0.25">
      <c r="B24" s="1763"/>
      <c r="C24" s="1763"/>
      <c r="D24" s="1763"/>
      <c r="E24" s="1763"/>
      <c r="F24" s="1763"/>
      <c r="G24" s="237"/>
      <c r="H24" s="1763"/>
      <c r="I24" s="1763"/>
      <c r="J24" s="1763"/>
      <c r="K24" s="1763"/>
      <c r="L24" s="1763"/>
    </row>
    <row r="25" spans="2:12" s="234" customFormat="1" ht="30" customHeight="1" x14ac:dyDescent="0.25">
      <c r="B25" s="238"/>
      <c r="C25" s="237"/>
      <c r="D25" s="238"/>
      <c r="E25" s="238"/>
      <c r="F25" s="238"/>
      <c r="G25" s="237"/>
      <c r="H25" s="238"/>
      <c r="I25" s="237"/>
      <c r="J25" s="238"/>
      <c r="K25" s="238"/>
      <c r="L25" s="238"/>
    </row>
    <row r="26" spans="2:12" s="234" customFormat="1" ht="30" customHeight="1" x14ac:dyDescent="0.25">
      <c r="B26" s="1762"/>
      <c r="C26" s="239"/>
      <c r="D26" s="240"/>
      <c r="E26" s="240"/>
      <c r="F26" s="240"/>
      <c r="G26" s="237"/>
      <c r="H26" s="1762"/>
      <c r="I26" s="239"/>
      <c r="J26" s="240"/>
      <c r="K26" s="240"/>
      <c r="L26" s="240"/>
    </row>
    <row r="27" spans="2:12" s="234" customFormat="1" ht="30" customHeight="1" x14ac:dyDescent="0.25">
      <c r="B27" s="1762"/>
      <c r="C27" s="241"/>
      <c r="D27" s="242"/>
      <c r="E27" s="242"/>
      <c r="F27" s="242"/>
      <c r="G27" s="237"/>
      <c r="H27" s="1762"/>
      <c r="I27" s="241"/>
      <c r="J27" s="242"/>
      <c r="K27" s="242"/>
      <c r="L27" s="242"/>
    </row>
    <row r="28" spans="2:12" s="234" customFormat="1" ht="30" customHeight="1" x14ac:dyDescent="0.25">
      <c r="B28" s="1762"/>
      <c r="C28" s="241"/>
      <c r="D28" s="242"/>
      <c r="E28" s="242"/>
      <c r="F28" s="242"/>
      <c r="G28" s="237"/>
      <c r="H28" s="1762"/>
      <c r="I28" s="241"/>
      <c r="J28" s="242"/>
      <c r="K28" s="242"/>
      <c r="L28" s="242"/>
    </row>
    <row r="29" spans="2:12" s="234" customFormat="1" ht="30" customHeight="1" x14ac:dyDescent="0.25">
      <c r="B29" s="1762"/>
      <c r="C29" s="239"/>
      <c r="D29" s="240"/>
      <c r="E29" s="240"/>
      <c r="F29" s="240"/>
      <c r="G29" s="237"/>
      <c r="H29" s="1762"/>
      <c r="I29" s="239"/>
      <c r="J29" s="240"/>
      <c r="K29" s="240"/>
      <c r="L29" s="240"/>
    </row>
    <row r="30" spans="2:12" s="234" customFormat="1" ht="30" customHeight="1" x14ac:dyDescent="0.25">
      <c r="B30" s="1762"/>
      <c r="C30" s="239"/>
      <c r="D30" s="240"/>
      <c r="E30" s="240"/>
      <c r="F30" s="240"/>
      <c r="G30" s="237"/>
      <c r="H30" s="1762"/>
      <c r="I30" s="239"/>
      <c r="J30" s="240"/>
      <c r="K30" s="240"/>
      <c r="L30" s="240"/>
    </row>
    <row r="31" spans="2:12" s="234" customFormat="1" ht="30" customHeight="1" x14ac:dyDescent="0.25">
      <c r="B31" s="237"/>
      <c r="C31" s="243"/>
      <c r="D31" s="239"/>
      <c r="E31" s="239"/>
      <c r="F31" s="239"/>
      <c r="G31" s="237"/>
      <c r="H31" s="237"/>
      <c r="I31" s="237"/>
      <c r="J31" s="237"/>
      <c r="K31" s="237"/>
      <c r="L31" s="237"/>
    </row>
    <row r="32" spans="2:12" s="234" customFormat="1" ht="30" customHeight="1" x14ac:dyDescent="0.25">
      <c r="B32" s="237"/>
      <c r="C32" s="237"/>
      <c r="D32" s="237"/>
      <c r="E32" s="237"/>
      <c r="F32" s="237"/>
      <c r="G32" s="237"/>
      <c r="H32" s="237"/>
      <c r="I32" s="237"/>
      <c r="J32" s="237"/>
      <c r="K32" s="237"/>
      <c r="L32" s="237"/>
    </row>
    <row r="33" spans="2:12" s="234" customFormat="1" ht="30" customHeight="1" x14ac:dyDescent="0.25">
      <c r="B33" s="1763"/>
      <c r="C33" s="1763"/>
      <c r="D33" s="1763"/>
      <c r="E33" s="1763"/>
      <c r="F33" s="1763"/>
      <c r="G33" s="237"/>
      <c r="H33" s="1763"/>
      <c r="I33" s="1763"/>
      <c r="J33" s="1763"/>
      <c r="K33" s="1763"/>
      <c r="L33" s="1763"/>
    </row>
    <row r="34" spans="2:12" s="234" customFormat="1" ht="30" customHeight="1" x14ac:dyDescent="0.25">
      <c r="B34" s="238"/>
      <c r="C34" s="237"/>
      <c r="D34" s="238"/>
      <c r="E34" s="238"/>
      <c r="F34" s="238"/>
      <c r="G34" s="237"/>
      <c r="H34" s="238"/>
      <c r="I34" s="237"/>
      <c r="J34" s="238"/>
      <c r="K34" s="238"/>
      <c r="L34" s="238"/>
    </row>
    <row r="35" spans="2:12" s="234" customFormat="1" ht="30" customHeight="1" x14ac:dyDescent="0.25">
      <c r="B35" s="1762"/>
      <c r="C35" s="239"/>
      <c r="D35" s="240"/>
      <c r="E35" s="240"/>
      <c r="F35" s="240"/>
      <c r="G35" s="237"/>
      <c r="H35" s="1762"/>
      <c r="I35" s="239"/>
      <c r="J35" s="240"/>
      <c r="K35" s="240"/>
      <c r="L35" s="240"/>
    </row>
    <row r="36" spans="2:12" s="234" customFormat="1" ht="30" customHeight="1" x14ac:dyDescent="0.25">
      <c r="B36" s="1762"/>
      <c r="C36" s="241"/>
      <c r="D36" s="242"/>
      <c r="E36" s="242"/>
      <c r="F36" s="242"/>
      <c r="G36" s="237"/>
      <c r="H36" s="1762"/>
      <c r="I36" s="241"/>
      <c r="J36" s="242"/>
      <c r="K36" s="242"/>
      <c r="L36" s="242"/>
    </row>
    <row r="37" spans="2:12" s="234" customFormat="1" ht="30" customHeight="1" x14ac:dyDescent="0.25">
      <c r="B37" s="1762"/>
      <c r="C37" s="241"/>
      <c r="D37" s="242"/>
      <c r="E37" s="242"/>
      <c r="F37" s="242"/>
      <c r="G37" s="237"/>
      <c r="H37" s="1762"/>
      <c r="I37" s="241"/>
      <c r="J37" s="242"/>
      <c r="K37" s="242"/>
      <c r="L37" s="242"/>
    </row>
    <row r="38" spans="2:12" s="234" customFormat="1" ht="30" customHeight="1" x14ac:dyDescent="0.25">
      <c r="B38" s="1762"/>
      <c r="C38" s="239"/>
      <c r="D38" s="240"/>
      <c r="E38" s="240"/>
      <c r="F38" s="240"/>
      <c r="G38" s="237"/>
      <c r="H38" s="1762"/>
      <c r="I38" s="239"/>
      <c r="J38" s="240"/>
      <c r="K38" s="240"/>
      <c r="L38" s="240"/>
    </row>
    <row r="39" spans="2:12" s="234" customFormat="1" ht="30" customHeight="1" x14ac:dyDescent="0.25">
      <c r="B39" s="1762"/>
      <c r="C39" s="239"/>
      <c r="D39" s="240"/>
      <c r="E39" s="240"/>
      <c r="F39" s="240"/>
      <c r="G39" s="237"/>
      <c r="H39" s="1762"/>
      <c r="I39" s="239"/>
      <c r="J39" s="240"/>
      <c r="K39" s="240"/>
      <c r="L39" s="240"/>
    </row>
    <row r="40" spans="2:12" s="234" customFormat="1" x14ac:dyDescent="0.25"/>
    <row r="41" spans="2:12" s="234" customFormat="1" x14ac:dyDescent="0.25"/>
    <row r="42" spans="2:12" s="234" customFormat="1" x14ac:dyDescent="0.25"/>
    <row r="43" spans="2:12" s="234" customFormat="1" x14ac:dyDescent="0.25"/>
    <row r="44" spans="2:12" s="234" customFormat="1" x14ac:dyDescent="0.25"/>
  </sheetData>
  <sheetProtection password="CF5C" sheet="1" objects="1" scenarios="1"/>
  <mergeCells count="18">
    <mergeCell ref="B15:F15"/>
    <mergeCell ref="B9:B12"/>
    <mergeCell ref="H6:L6"/>
    <mergeCell ref="H9:H12"/>
    <mergeCell ref="A1:C1"/>
    <mergeCell ref="D1:M1"/>
    <mergeCell ref="B3:L4"/>
    <mergeCell ref="B6:F6"/>
    <mergeCell ref="B17:B21"/>
    <mergeCell ref="H17:H21"/>
    <mergeCell ref="B24:F24"/>
    <mergeCell ref="H24:L24"/>
    <mergeCell ref="B35:B39"/>
    <mergeCell ref="H35:H39"/>
    <mergeCell ref="B26:B30"/>
    <mergeCell ref="H26:H30"/>
    <mergeCell ref="B33:F33"/>
    <mergeCell ref="H33:L33"/>
  </mergeCells>
  <conditionalFormatting sqref="F7">
    <cfRule type="colorScale" priority="2">
      <colorScale>
        <cfvo type="min"/>
        <cfvo type="max"/>
        <color rgb="FFFF7128"/>
        <color rgb="FF967D00"/>
      </colorScale>
    </cfRule>
  </conditionalFormatting>
  <conditionalFormatting sqref="L7">
    <cfRule type="colorScale" priority="1">
      <colorScale>
        <cfvo type="min"/>
        <cfvo type="max"/>
        <color rgb="FFFF7128"/>
        <color rgb="FF967D00"/>
      </colorScale>
    </cfRule>
  </conditionalFormatting>
  <pageMargins left="0.70866141732283472" right="0.70866141732283472" top="0.74803149606299213" bottom="0.74803149606299213" header="0.31496062992125984" footer="0.31496062992125984"/>
  <pageSetup scale="20" orientation="portrait" r:id="rId1"/>
  <headerFooter>
    <oddFooter>&amp;RRT03-F11 Vr.10 (2021-02-04)</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66CC"/>
  </sheetPr>
  <dimension ref="A1:AC61"/>
  <sheetViews>
    <sheetView showGridLines="0" view="pageBreakPreview" zoomScale="80" zoomScaleNormal="25" zoomScaleSheetLayoutView="80" zoomScalePageLayoutView="10" workbookViewId="0">
      <selection activeCell="D1" sqref="D1:W1"/>
    </sheetView>
  </sheetViews>
  <sheetFormatPr baseColWidth="10" defaultColWidth="15.7109375" defaultRowHeight="15" x14ac:dyDescent="0.2"/>
  <cols>
    <col min="1" max="4" width="15.7109375" style="4"/>
    <col min="5" max="5" width="16.85546875" style="4" customWidth="1"/>
    <col min="6" max="7" width="15.7109375" style="4"/>
    <col min="8" max="8" width="17" style="4" customWidth="1"/>
    <col min="9" max="10" width="15.85546875" style="4" bestFit="1" customWidth="1"/>
    <col min="11" max="11" width="16" style="4" bestFit="1" customWidth="1"/>
    <col min="12" max="16384" width="15.7109375" style="4"/>
  </cols>
  <sheetData>
    <row r="1" spans="1:29" s="15" customFormat="1" ht="75" customHeight="1" thickBot="1" x14ac:dyDescent="0.3">
      <c r="A1" s="1704"/>
      <c r="B1" s="1705"/>
      <c r="C1" s="13"/>
      <c r="D1" s="1796" t="s">
        <v>210</v>
      </c>
      <c r="E1" s="1797"/>
      <c r="F1" s="1797"/>
      <c r="G1" s="1797"/>
      <c r="H1" s="1797"/>
      <c r="I1" s="1797"/>
      <c r="J1" s="1797"/>
      <c r="K1" s="1797"/>
      <c r="L1" s="1797"/>
      <c r="M1" s="1797"/>
      <c r="N1" s="1797"/>
      <c r="O1" s="1797"/>
      <c r="P1" s="1797"/>
      <c r="Q1" s="1797"/>
      <c r="R1" s="1797"/>
      <c r="S1" s="1797"/>
      <c r="T1" s="1797"/>
      <c r="U1" s="1797"/>
      <c r="V1" s="1797"/>
      <c r="W1" s="1798"/>
    </row>
    <row r="2" spans="1:29" s="18" customFormat="1" ht="5.0999999999999996" customHeight="1" thickBot="1" x14ac:dyDescent="0.3">
      <c r="A2" s="165"/>
      <c r="B2" s="165"/>
      <c r="C2" s="16"/>
      <c r="D2" s="17"/>
      <c r="E2" s="17"/>
      <c r="F2" s="17"/>
      <c r="G2" s="17"/>
      <c r="H2" s="17"/>
      <c r="I2" s="17"/>
      <c r="J2" s="17"/>
      <c r="K2" s="17"/>
      <c r="L2" s="17"/>
      <c r="M2" s="17"/>
      <c r="N2" s="17"/>
      <c r="O2" s="17"/>
      <c r="P2" s="17"/>
      <c r="Q2" s="17"/>
      <c r="R2" s="17"/>
    </row>
    <row r="3" spans="1:29" s="18" customFormat="1" ht="39.950000000000003" customHeight="1" thickBot="1" x14ac:dyDescent="0.3">
      <c r="A3" s="1" t="s">
        <v>34</v>
      </c>
      <c r="B3" s="11" t="e">
        <f>VLOOKUP(S3,'DATOS &amp;'!D7:N19,2,FALSE)</f>
        <v>#N/A</v>
      </c>
      <c r="C3" s="2" t="s">
        <v>109</v>
      </c>
      <c r="D3" s="1782" t="e">
        <f>VLOOKUP(S3,'DATOS &amp;'!D7:N19,3,FALSE)</f>
        <v>#N/A</v>
      </c>
      <c r="E3" s="1782"/>
      <c r="F3" s="3" t="s">
        <v>230</v>
      </c>
      <c r="G3" s="1783" t="e">
        <f>VLOOKUP(S3,'DATOS &amp;'!D7:N19,7,FALSE)</f>
        <v>#N/A</v>
      </c>
      <c r="H3" s="1783"/>
      <c r="I3" s="3" t="s">
        <v>486</v>
      </c>
      <c r="J3" s="1783" t="e">
        <f>VLOOKUP(S3,'DATOS &amp;'!D7:N19,4,FALSE)</f>
        <v>#N/A</v>
      </c>
      <c r="K3" s="1783"/>
      <c r="L3" s="3" t="s">
        <v>485</v>
      </c>
      <c r="M3" s="1799"/>
      <c r="N3" s="1800"/>
      <c r="O3" s="3" t="s">
        <v>110</v>
      </c>
      <c r="P3" s="1783" t="e">
        <f>VLOOKUP(S3,'DATOS &amp;'!D7:N19,11,FALSE)</f>
        <v>#N/A</v>
      </c>
      <c r="Q3" s="1783"/>
      <c r="R3" s="1784"/>
      <c r="S3" s="10"/>
    </row>
    <row r="4" spans="1:29" s="16" customFormat="1" ht="9.9499999999999993" customHeight="1" x14ac:dyDescent="0.25">
      <c r="C4" s="167"/>
    </row>
    <row r="5" spans="1:29" ht="9.9499999999999993" customHeight="1" thickBot="1" x14ac:dyDescent="0.25">
      <c r="A5" s="19"/>
      <c r="H5" s="16"/>
      <c r="J5" s="16"/>
      <c r="P5" s="14"/>
      <c r="Q5" s="14"/>
      <c r="R5" s="14"/>
      <c r="S5" s="14"/>
      <c r="T5" s="14"/>
      <c r="U5" s="14"/>
      <c r="V5" s="14"/>
      <c r="X5" s="14"/>
      <c r="Y5" s="14"/>
      <c r="Z5" s="14"/>
      <c r="AA5" s="14"/>
      <c r="AB5" s="20"/>
      <c r="AC5" s="14"/>
    </row>
    <row r="6" spans="1:29" ht="39.950000000000003" customHeight="1" thickBot="1" x14ac:dyDescent="0.25">
      <c r="A6" s="1791" t="s">
        <v>186</v>
      </c>
      <c r="B6" s="1792"/>
      <c r="C6" s="1792"/>
      <c r="D6" s="1792"/>
      <c r="E6" s="1792"/>
      <c r="F6" s="1792"/>
      <c r="G6" s="1793"/>
      <c r="H6" s="1742" t="s">
        <v>52</v>
      </c>
      <c r="I6" s="1743"/>
      <c r="J6" s="1794"/>
      <c r="K6" s="1795"/>
      <c r="L6" s="1776" t="s">
        <v>70</v>
      </c>
      <c r="M6" s="1777"/>
      <c r="N6" s="1777"/>
      <c r="O6" s="1777"/>
      <c r="P6" s="1778"/>
      <c r="Q6" s="1785" t="s">
        <v>71</v>
      </c>
      <c r="R6" s="1786"/>
      <c r="S6" s="1786"/>
      <c r="T6" s="1786"/>
      <c r="U6" s="1786"/>
      <c r="V6" s="1787"/>
      <c r="W6" s="14"/>
      <c r="X6" s="14"/>
      <c r="Y6" s="14"/>
      <c r="Z6" s="14"/>
      <c r="AA6" s="14"/>
      <c r="AB6" s="20"/>
      <c r="AC6" s="14"/>
    </row>
    <row r="7" spans="1:29" ht="50.25" customHeight="1" thickBot="1" x14ac:dyDescent="0.25">
      <c r="A7" s="9" t="s">
        <v>102</v>
      </c>
      <c r="B7" s="21" t="s">
        <v>182</v>
      </c>
      <c r="C7" s="22" t="s">
        <v>183</v>
      </c>
      <c r="D7" s="12" t="s">
        <v>184</v>
      </c>
      <c r="E7" s="12" t="s">
        <v>409</v>
      </c>
      <c r="F7" s="23" t="s">
        <v>185</v>
      </c>
      <c r="G7" s="24" t="s">
        <v>63</v>
      </c>
      <c r="H7" s="1679" t="s">
        <v>117</v>
      </c>
      <c r="I7" s="1680"/>
      <c r="J7" s="168" t="e">
        <f>VLOOKUP(K7,'DATOS &amp;'!$P$9:$Q$13,2,FALSE)</f>
        <v>#N/A</v>
      </c>
      <c r="K7" s="10"/>
      <c r="L7" s="1779"/>
      <c r="M7" s="1780"/>
      <c r="N7" s="1780"/>
      <c r="O7" s="1780"/>
      <c r="P7" s="1781"/>
      <c r="Q7" s="1788"/>
      <c r="R7" s="1789"/>
      <c r="S7" s="1789"/>
      <c r="T7" s="1789"/>
      <c r="U7" s="1789"/>
      <c r="V7" s="1790"/>
      <c r="X7" s="25"/>
      <c r="Y7" s="25"/>
      <c r="Z7" s="25"/>
      <c r="AA7" s="25"/>
      <c r="AB7" s="26"/>
      <c r="AC7" s="25"/>
    </row>
    <row r="8" spans="1:29" ht="39.950000000000003" customHeight="1" thickBot="1" x14ac:dyDescent="0.25">
      <c r="A8" s="27" t="e">
        <f>'RT03-F33 &amp; '!B34:B34</f>
        <v>#N/A</v>
      </c>
      <c r="B8" s="28" t="e">
        <f>'RT03-F33 &amp; '!Q35</f>
        <v>#N/A</v>
      </c>
      <c r="C8" s="29" t="e">
        <f>'RT03-F33 &amp; '!C34</f>
        <v>#N/A</v>
      </c>
      <c r="D8" s="30" t="e">
        <f>'RT03-F33 &amp; '!E34</f>
        <v>#N/A</v>
      </c>
      <c r="E8" s="156" t="e">
        <f>'RT03-F33 &amp; '!G34</f>
        <v>#N/A</v>
      </c>
      <c r="F8" s="31" t="e">
        <f>'RT03-F33 &amp; '!I34</f>
        <v>#N/A</v>
      </c>
      <c r="G8" s="32" t="e">
        <f>'RT03-F33 &amp; '!O34</f>
        <v>#N/A</v>
      </c>
      <c r="H8" s="1821" t="s">
        <v>53</v>
      </c>
      <c r="I8" s="1823"/>
      <c r="J8" s="1853"/>
      <c r="K8" s="1854"/>
      <c r="L8" s="33"/>
      <c r="M8" s="34"/>
      <c r="N8" s="34"/>
      <c r="O8" s="34"/>
      <c r="P8" s="34"/>
      <c r="Q8" s="1844" t="s">
        <v>301</v>
      </c>
      <c r="R8" s="1810" t="s">
        <v>178</v>
      </c>
      <c r="S8" s="1810" t="s">
        <v>302</v>
      </c>
      <c r="T8" s="1810" t="s">
        <v>303</v>
      </c>
      <c r="U8" s="1810" t="s">
        <v>179</v>
      </c>
      <c r="V8" s="1813" t="s">
        <v>180</v>
      </c>
      <c r="W8" s="14"/>
      <c r="X8" s="14"/>
      <c r="Y8" s="14"/>
      <c r="Z8" s="14"/>
      <c r="AA8" s="14"/>
      <c r="AB8" s="20"/>
      <c r="AC8" s="14"/>
    </row>
    <row r="9" spans="1:29" ht="39.950000000000003" customHeight="1" thickBot="1" x14ac:dyDescent="0.25">
      <c r="A9" s="19"/>
      <c r="D9" s="19"/>
      <c r="E9" s="155"/>
      <c r="F9" s="19"/>
      <c r="L9" s="35"/>
      <c r="M9" s="36"/>
      <c r="N9" s="36"/>
      <c r="O9" s="36"/>
      <c r="P9" s="5"/>
      <c r="Q9" s="1845"/>
      <c r="R9" s="1811"/>
      <c r="S9" s="1811"/>
      <c r="T9" s="1811"/>
      <c r="U9" s="1811"/>
      <c r="V9" s="1814"/>
      <c r="AC9" s="14"/>
    </row>
    <row r="10" spans="1:29" ht="39.950000000000003" customHeight="1" thickBot="1" x14ac:dyDescent="0.25">
      <c r="A10" s="19"/>
      <c r="B10" s="1818" t="s">
        <v>156</v>
      </c>
      <c r="C10" s="1819"/>
      <c r="D10" s="1819"/>
      <c r="E10" s="1820"/>
      <c r="F10" s="36"/>
      <c r="H10" s="1818" t="s">
        <v>181</v>
      </c>
      <c r="I10" s="1820"/>
      <c r="L10" s="35"/>
      <c r="M10" s="36"/>
      <c r="N10" s="36"/>
      <c r="O10" s="36"/>
      <c r="P10" s="36"/>
      <c r="Q10" s="1845"/>
      <c r="R10" s="1811"/>
      <c r="S10" s="1812"/>
      <c r="T10" s="1812"/>
      <c r="U10" s="1812"/>
      <c r="V10" s="1815"/>
      <c r="AC10" s="14"/>
    </row>
    <row r="11" spans="1:29" ht="39.950000000000003" customHeight="1" thickBot="1" x14ac:dyDescent="0.4">
      <c r="A11" s="19"/>
      <c r="B11" s="1849" t="s">
        <v>150</v>
      </c>
      <c r="C11" s="1850"/>
      <c r="D11" s="1851" t="s">
        <v>72</v>
      </c>
      <c r="E11" s="1852"/>
      <c r="F11" s="19"/>
      <c r="H11" s="37" t="s">
        <v>148</v>
      </c>
      <c r="I11" s="38" t="s">
        <v>2</v>
      </c>
      <c r="L11" s="39" t="s">
        <v>97</v>
      </c>
      <c r="M11" s="36"/>
      <c r="N11" s="36"/>
      <c r="O11" s="40" t="s">
        <v>73</v>
      </c>
      <c r="P11" s="36"/>
      <c r="Q11" s="1855" t="e">
        <f>B8</f>
        <v>#N/A</v>
      </c>
      <c r="R11" s="1842" t="e">
        <f>C8</f>
        <v>#N/A</v>
      </c>
      <c r="S11" s="119"/>
      <c r="T11" s="41" t="e">
        <f>M19</f>
        <v>#N/A</v>
      </c>
      <c r="U11" s="41" t="e">
        <f>($R$11-T11)</f>
        <v>#N/A</v>
      </c>
      <c r="V11" s="42" t="e">
        <f>U11/$D$12</f>
        <v>#N/A</v>
      </c>
      <c r="AC11" s="25"/>
    </row>
    <row r="12" spans="1:29" ht="39.950000000000003" customHeight="1" thickBot="1" x14ac:dyDescent="0.3">
      <c r="A12" s="19"/>
      <c r="B12" s="43" t="e">
        <f>VLOOKUP(F12,'DATOS &amp;'!$AC$113:$AF$118,2,FALSE)</f>
        <v>#N/A</v>
      </c>
      <c r="C12" s="44"/>
      <c r="D12" s="45" t="e">
        <f>VLOOKUP(F12,'DATOS &amp;'!$AC$113:$AE$117,3,FALSE)</f>
        <v>#N/A</v>
      </c>
      <c r="E12" s="46"/>
      <c r="F12" s="123"/>
      <c r="H12" s="47" t="s">
        <v>151</v>
      </c>
      <c r="I12" s="48">
        <f>I13/2</f>
        <v>8.1935300000000009</v>
      </c>
      <c r="L12" s="39" t="s">
        <v>74</v>
      </c>
      <c r="M12" s="40"/>
      <c r="N12" s="40" t="s">
        <v>73</v>
      </c>
      <c r="O12" s="40"/>
      <c r="P12" s="36"/>
      <c r="Q12" s="1855"/>
      <c r="R12" s="1842"/>
      <c r="S12" s="119"/>
      <c r="T12" s="41" t="e">
        <f>M20</f>
        <v>#N/A</v>
      </c>
      <c r="U12" s="41" t="e">
        <f>($R$11-T12)</f>
        <v>#N/A</v>
      </c>
      <c r="V12" s="42" t="e">
        <f>U12/$D$12</f>
        <v>#N/A</v>
      </c>
      <c r="AC12" s="26"/>
    </row>
    <row r="13" spans="1:29" ht="39.950000000000003" customHeight="1" thickBot="1" x14ac:dyDescent="0.4">
      <c r="A13" s="19"/>
      <c r="F13" s="36"/>
      <c r="H13" s="47" t="s">
        <v>152</v>
      </c>
      <c r="I13" s="48">
        <v>16.387060000000002</v>
      </c>
      <c r="L13" s="49" t="s">
        <v>98</v>
      </c>
      <c r="M13" s="50" t="s">
        <v>73</v>
      </c>
      <c r="N13" s="51"/>
      <c r="O13" s="51"/>
      <c r="P13" s="52" t="s">
        <v>75</v>
      </c>
      <c r="Q13" s="1856"/>
      <c r="R13" s="1843"/>
      <c r="S13" s="120"/>
      <c r="T13" s="53" t="e">
        <f>M21</f>
        <v>#N/A</v>
      </c>
      <c r="U13" s="53" t="e">
        <f>($R$11-T13)</f>
        <v>#N/A</v>
      </c>
      <c r="V13" s="54" t="e">
        <f>U13/$D$12</f>
        <v>#N/A</v>
      </c>
      <c r="AC13" s="26"/>
    </row>
    <row r="14" spans="1:29" s="36" customFormat="1" ht="39.950000000000003" customHeight="1" thickBot="1" x14ac:dyDescent="0.4">
      <c r="L14" s="6"/>
      <c r="M14" s="55" t="s">
        <v>144</v>
      </c>
      <c r="N14" s="55" t="s">
        <v>75</v>
      </c>
      <c r="O14" s="55" t="s">
        <v>145</v>
      </c>
      <c r="P14" s="7"/>
      <c r="T14" s="56" t="s">
        <v>155</v>
      </c>
      <c r="U14" s="57" t="e">
        <f>AVERAGE(U11:U13)</f>
        <v>#N/A</v>
      </c>
      <c r="V14" s="58" t="e">
        <f>AVERAGE(V11:V13)</f>
        <v>#N/A</v>
      </c>
      <c r="AC14" s="14"/>
    </row>
    <row r="15" spans="1:29" ht="39.950000000000003" customHeight="1" thickBot="1" x14ac:dyDescent="0.25">
      <c r="A15" s="19"/>
      <c r="D15" s="19"/>
      <c r="E15" s="19"/>
      <c r="F15" s="19"/>
      <c r="R15" s="19"/>
      <c r="S15" s="19"/>
      <c r="T15" s="59"/>
      <c r="U15" s="53" t="e">
        <f>STDEVA(U11:U13)</f>
        <v>#N/A</v>
      </c>
      <c r="V15" s="60" t="e">
        <f>_xlfn.STDEV.S(V11:V13)</f>
        <v>#N/A</v>
      </c>
      <c r="AC15" s="61"/>
    </row>
    <row r="16" spans="1:29" ht="39.950000000000003" customHeight="1" thickBot="1" x14ac:dyDescent="0.25">
      <c r="A16" s="19"/>
      <c r="T16" s="62"/>
      <c r="U16" s="53" t="e">
        <f>U15/SQRT(3)</f>
        <v>#N/A</v>
      </c>
      <c r="V16" s="63" t="e">
        <f>V15/SQRT(3)</f>
        <v>#N/A</v>
      </c>
      <c r="AC16" s="64"/>
    </row>
    <row r="17" spans="1:29" ht="39.950000000000003" customHeight="1" thickBot="1" x14ac:dyDescent="0.25">
      <c r="A17" s="19"/>
      <c r="B17" s="1830" t="s">
        <v>250</v>
      </c>
      <c r="C17" s="1831"/>
      <c r="D17" s="1831"/>
      <c r="E17" s="1831"/>
      <c r="F17" s="1832"/>
      <c r="G17" s="1833" t="s">
        <v>306</v>
      </c>
      <c r="H17" s="1834"/>
      <c r="I17" s="1834"/>
      <c r="J17" s="1834"/>
      <c r="K17" s="1835"/>
      <c r="T17" s="19"/>
      <c r="U17" s="19"/>
      <c r="V17" s="19"/>
      <c r="AC17" s="65"/>
    </row>
    <row r="18" spans="1:29" ht="39.950000000000003" customHeight="1" thickBot="1" x14ac:dyDescent="0.25">
      <c r="A18" s="19"/>
      <c r="B18" s="66" t="s">
        <v>47</v>
      </c>
      <c r="C18" s="67" t="s">
        <v>82</v>
      </c>
      <c r="D18" s="67" t="s">
        <v>83</v>
      </c>
      <c r="E18" s="67" t="s">
        <v>84</v>
      </c>
      <c r="F18" s="131" t="s">
        <v>85</v>
      </c>
      <c r="G18" s="163" t="s">
        <v>44</v>
      </c>
      <c r="H18" s="89" t="s">
        <v>30</v>
      </c>
      <c r="I18" s="89" t="s">
        <v>31</v>
      </c>
      <c r="J18" s="89" t="s">
        <v>146</v>
      </c>
      <c r="K18" s="148" t="s">
        <v>48</v>
      </c>
      <c r="L18" s="166" t="s">
        <v>177</v>
      </c>
      <c r="M18" s="89" t="s">
        <v>76</v>
      </c>
      <c r="N18" s="149" t="s">
        <v>77</v>
      </c>
      <c r="O18" s="68" t="e">
        <f>(O21-O20)/(N21-N20)</f>
        <v>#N/A</v>
      </c>
      <c r="P18" s="36"/>
      <c r="Q18" s="69"/>
      <c r="R18" s="51"/>
      <c r="U18" s="150"/>
      <c r="V18" s="151" t="e">
        <f>AVERAGE(S11:S13)</f>
        <v>#DIV/0!</v>
      </c>
      <c r="AC18" s="65"/>
    </row>
    <row r="19" spans="1:29" s="36" customFormat="1" ht="49.5" customHeight="1" x14ac:dyDescent="0.2">
      <c r="B19" s="70" t="s">
        <v>304</v>
      </c>
      <c r="C19" s="121"/>
      <c r="D19" s="121"/>
      <c r="E19" s="121"/>
      <c r="F19" s="132" t="e">
        <f>AVERAGE(C19:E19)</f>
        <v>#DIV/0!</v>
      </c>
      <c r="G19" s="145" t="s">
        <v>51</v>
      </c>
      <c r="H19" s="158">
        <v>3.7854100000000002</v>
      </c>
      <c r="I19" s="158">
        <f>(H19/H21)*1000</f>
        <v>3785.4100000000003</v>
      </c>
      <c r="J19" s="158">
        <f>(I19*I22)/I20</f>
        <v>230.99994751956731</v>
      </c>
      <c r="K19" s="159">
        <v>5</v>
      </c>
      <c r="L19" s="146">
        <f>S11</f>
        <v>0</v>
      </c>
      <c r="M19" s="147" t="e">
        <f>($O$21+$O$18*(L19-$N$21))</f>
        <v>#N/A</v>
      </c>
      <c r="N19" s="157" t="s">
        <v>78</v>
      </c>
      <c r="O19" s="157" t="s">
        <v>79</v>
      </c>
      <c r="P19" s="139" t="s">
        <v>80</v>
      </c>
      <c r="Q19" s="1824" t="s">
        <v>81</v>
      </c>
      <c r="R19" s="1824"/>
      <c r="S19" s="1825"/>
      <c r="U19" s="152"/>
      <c r="V19" s="153">
        <f>(I13/10)/SQRT(3)</f>
        <v>0.94610735022265502</v>
      </c>
    </row>
    <row r="20" spans="1:29" s="36" customFormat="1" ht="39.950000000000003" customHeight="1" thickBot="1" x14ac:dyDescent="0.25">
      <c r="B20" s="47" t="s">
        <v>86</v>
      </c>
      <c r="C20" s="136"/>
      <c r="D20" s="122"/>
      <c r="E20" s="122"/>
      <c r="F20" s="133" t="e">
        <f>AVERAGE(C20:E20)</f>
        <v>#DIV/0!</v>
      </c>
      <c r="G20" s="71" t="s">
        <v>146</v>
      </c>
      <c r="H20" s="130">
        <v>1.6387059999999998E-2</v>
      </c>
      <c r="I20" s="130">
        <f>(H20/H21)*I21</f>
        <v>16.387059999999998</v>
      </c>
      <c r="J20" s="130">
        <v>1</v>
      </c>
      <c r="K20" s="160">
        <f>J19*K19</f>
        <v>1154.9997375978367</v>
      </c>
      <c r="L20" s="140">
        <f>S12</f>
        <v>0</v>
      </c>
      <c r="M20" s="41" t="e">
        <f>($O$21+$O$18*(L20-$N$21))</f>
        <v>#N/A</v>
      </c>
      <c r="N20" s="138" t="e">
        <f>'RT03-F33 &amp; '!Q34</f>
        <v>#N/A</v>
      </c>
      <c r="O20" s="138" t="e">
        <f>'RT03-F33 &amp; '!R34</f>
        <v>#N/A</v>
      </c>
      <c r="P20" s="141" t="e">
        <f>(O20-N20)</f>
        <v>#N/A</v>
      </c>
      <c r="Q20" s="1826"/>
      <c r="R20" s="1826"/>
      <c r="S20" s="1827"/>
      <c r="U20" s="154"/>
      <c r="V20" s="63">
        <f>(I13/10)/SQRT(3)</f>
        <v>0.94610735022265502</v>
      </c>
    </row>
    <row r="21" spans="1:29" s="36" customFormat="1" ht="49.5" customHeight="1" thickBot="1" x14ac:dyDescent="0.25">
      <c r="B21" s="73" t="s">
        <v>305</v>
      </c>
      <c r="C21" s="74" t="e">
        <f>F19-F20</f>
        <v>#DIV/0!</v>
      </c>
      <c r="D21" s="75"/>
      <c r="E21" s="76"/>
      <c r="F21" s="76"/>
      <c r="G21" s="71" t="s">
        <v>87</v>
      </c>
      <c r="H21" s="130">
        <v>1</v>
      </c>
      <c r="I21" s="130">
        <v>1000</v>
      </c>
      <c r="J21" s="130">
        <f>H20</f>
        <v>1.6387059999999998E-2</v>
      </c>
      <c r="K21" s="160">
        <f>K19*H19</f>
        <v>18.927050000000001</v>
      </c>
      <c r="L21" s="142">
        <f>S13</f>
        <v>0</v>
      </c>
      <c r="M21" s="53" t="e">
        <f>($O$21+$O$18*(L21-$N$21))</f>
        <v>#N/A</v>
      </c>
      <c r="N21" s="143" t="e">
        <f>'RT03-F33 &amp; '!Q35</f>
        <v>#N/A</v>
      </c>
      <c r="O21" s="143" t="e">
        <f>'RT03-F33 &amp; '!R35</f>
        <v>#N/A</v>
      </c>
      <c r="P21" s="144" t="e">
        <f>(O21-N21)</f>
        <v>#N/A</v>
      </c>
      <c r="Q21" s="1828" t="e">
        <f>ABS(P21-P20)/12^0.5</f>
        <v>#N/A</v>
      </c>
      <c r="R21" s="1828"/>
      <c r="S21" s="1829"/>
    </row>
    <row r="22" spans="1:29" s="36" customFormat="1" ht="39.950000000000003" customHeight="1" thickBot="1" x14ac:dyDescent="0.25">
      <c r="B22" s="77" t="s">
        <v>147</v>
      </c>
      <c r="C22" s="78" t="e">
        <f>I13*((F19-F20)/((SQRT(12)*F19)))</f>
        <v>#DIV/0!</v>
      </c>
      <c r="D22" s="79"/>
      <c r="E22" s="80"/>
      <c r="F22" s="80"/>
      <c r="G22" s="72" t="s">
        <v>88</v>
      </c>
      <c r="H22" s="161">
        <v>1E-3</v>
      </c>
      <c r="I22" s="161">
        <v>1</v>
      </c>
      <c r="J22" s="161">
        <f>I20</f>
        <v>16.387059999999998</v>
      </c>
      <c r="K22" s="162">
        <f>K19*I19</f>
        <v>18927.050000000003</v>
      </c>
    </row>
    <row r="23" spans="1:29" s="36" customFormat="1" ht="39.950000000000003" customHeight="1" thickBot="1" x14ac:dyDescent="0.25">
      <c r="B23" s="81"/>
      <c r="D23" s="17"/>
      <c r="E23" s="17"/>
      <c r="F23" s="82"/>
    </row>
    <row r="24" spans="1:29" s="36" customFormat="1" ht="39.950000000000003" customHeight="1" thickBot="1" x14ac:dyDescent="0.25">
      <c r="B24" s="1818" t="s">
        <v>60</v>
      </c>
      <c r="C24" s="1819"/>
      <c r="D24" s="1819"/>
      <c r="E24" s="1819"/>
      <c r="F24" s="1819"/>
      <c r="G24" s="1819"/>
      <c r="H24" s="1819"/>
      <c r="I24" s="1819"/>
      <c r="J24" s="1819"/>
      <c r="K24" s="1819"/>
      <c r="L24" s="1820"/>
    </row>
    <row r="25" spans="1:29" s="15" customFormat="1" ht="39.950000000000003" customHeight="1" thickBot="1" x14ac:dyDescent="0.3">
      <c r="A25" s="18"/>
      <c r="B25" s="200"/>
      <c r="C25" s="201"/>
      <c r="D25" s="201"/>
      <c r="E25" s="201"/>
      <c r="F25" s="201"/>
      <c r="G25" s="201"/>
      <c r="H25" s="201"/>
      <c r="I25" s="201"/>
      <c r="J25" s="201"/>
      <c r="K25" s="202" t="s">
        <v>61</v>
      </c>
      <c r="L25" s="203" t="s">
        <v>44</v>
      </c>
    </row>
    <row r="26" spans="1:29" s="16" customFormat="1" ht="39.950000000000003" customHeight="1" thickBot="1" x14ac:dyDescent="0.3">
      <c r="B26" s="211" t="s">
        <v>89</v>
      </c>
      <c r="C26" s="212"/>
      <c r="D26" s="212"/>
      <c r="E26" s="212"/>
      <c r="F26" s="212"/>
      <c r="G26" s="213"/>
      <c r="H26" s="213"/>
      <c r="I26" s="213"/>
      <c r="J26" s="214"/>
      <c r="K26" s="209" t="e">
        <f>1/(D12)</f>
        <v>#N/A</v>
      </c>
      <c r="L26" s="210" t="s">
        <v>2</v>
      </c>
    </row>
    <row r="27" spans="1:29" s="15" customFormat="1" ht="5.0999999999999996" customHeight="1" thickBot="1" x14ac:dyDescent="0.3">
      <c r="A27" s="16"/>
      <c r="B27" s="86"/>
      <c r="C27" s="87"/>
      <c r="D27" s="87"/>
      <c r="E27" s="87"/>
      <c r="F27" s="87"/>
      <c r="G27" s="16"/>
      <c r="H27" s="16"/>
      <c r="I27" s="16"/>
      <c r="J27" s="16"/>
      <c r="K27" s="204"/>
      <c r="L27" s="207"/>
    </row>
    <row r="28" spans="1:29" s="16" customFormat="1" ht="39.950000000000003" customHeight="1" thickBot="1" x14ac:dyDescent="0.3">
      <c r="B28" s="211" t="s">
        <v>90</v>
      </c>
      <c r="C28" s="212"/>
      <c r="D28" s="212"/>
      <c r="E28" s="212"/>
      <c r="F28" s="212"/>
      <c r="G28" s="213"/>
      <c r="H28" s="213"/>
      <c r="I28" s="213"/>
      <c r="J28" s="214"/>
      <c r="K28" s="209" t="e">
        <f>-1/(D12)</f>
        <v>#N/A</v>
      </c>
      <c r="L28" s="210" t="s">
        <v>2</v>
      </c>
    </row>
    <row r="29" spans="1:29" s="15" customFormat="1" ht="5.0999999999999996" customHeight="1" thickBot="1" x14ac:dyDescent="0.3">
      <c r="A29" s="16"/>
      <c r="B29" s="86"/>
      <c r="C29" s="87"/>
      <c r="D29" s="87"/>
      <c r="E29" s="87"/>
      <c r="F29" s="87"/>
      <c r="G29" s="16"/>
      <c r="H29" s="16"/>
      <c r="I29" s="16"/>
      <c r="J29" s="16"/>
      <c r="K29" s="204"/>
      <c r="L29" s="208"/>
    </row>
    <row r="30" spans="1:29" s="16" customFormat="1" ht="39.950000000000003" customHeight="1" thickBot="1" x14ac:dyDescent="0.3">
      <c r="B30" s="211" t="s">
        <v>90</v>
      </c>
      <c r="C30" s="212"/>
      <c r="D30" s="212"/>
      <c r="E30" s="212"/>
      <c r="F30" s="212"/>
      <c r="G30" s="213"/>
      <c r="H30" s="213"/>
      <c r="I30" s="213"/>
      <c r="J30" s="214"/>
      <c r="K30" s="209" t="e">
        <f>1/(D12)</f>
        <v>#N/A</v>
      </c>
      <c r="L30" s="210" t="s">
        <v>2</v>
      </c>
    </row>
    <row r="31" spans="1:29" s="15" customFormat="1" ht="5.0999999999999996" customHeight="1" thickBot="1" x14ac:dyDescent="0.3">
      <c r="A31" s="16"/>
      <c r="B31" s="88"/>
      <c r="C31" s="87"/>
      <c r="D31" s="87"/>
      <c r="E31" s="87"/>
      <c r="F31" s="87"/>
      <c r="G31" s="16"/>
      <c r="H31" s="16"/>
      <c r="I31" s="16"/>
      <c r="J31" s="16"/>
      <c r="K31" s="205"/>
      <c r="L31" s="208"/>
      <c r="M31" s="165"/>
      <c r="N31" s="16"/>
      <c r="O31" s="16"/>
      <c r="P31" s="16"/>
      <c r="Q31" s="16"/>
      <c r="R31" s="18"/>
    </row>
    <row r="32" spans="1:29" s="16" customFormat="1" ht="39.950000000000003" customHeight="1" thickBot="1" x14ac:dyDescent="0.3">
      <c r="B32" s="211" t="s">
        <v>90</v>
      </c>
      <c r="C32" s="212"/>
      <c r="D32" s="212"/>
      <c r="E32" s="212"/>
      <c r="F32" s="212"/>
      <c r="G32" s="213"/>
      <c r="H32" s="213"/>
      <c r="I32" s="213"/>
      <c r="J32" s="214"/>
      <c r="K32" s="209" t="e">
        <f>K30</f>
        <v>#N/A</v>
      </c>
      <c r="L32" s="210" t="s">
        <v>2</v>
      </c>
    </row>
    <row r="33" spans="1:18" s="15" customFormat="1" ht="5.0999999999999996" customHeight="1" thickBot="1" x14ac:dyDescent="0.3">
      <c r="A33" s="16"/>
      <c r="B33" s="86"/>
      <c r="C33" s="87"/>
      <c r="D33" s="87"/>
      <c r="E33" s="87"/>
      <c r="F33" s="87"/>
      <c r="G33" s="16"/>
      <c r="H33" s="16"/>
      <c r="I33" s="16"/>
      <c r="J33" s="16"/>
      <c r="K33" s="205"/>
      <c r="L33" s="208"/>
      <c r="M33" s="165"/>
      <c r="N33" s="16"/>
      <c r="O33" s="16"/>
      <c r="P33" s="16"/>
      <c r="Q33" s="16"/>
      <c r="R33" s="18"/>
    </row>
    <row r="34" spans="1:18" s="16" customFormat="1" ht="39.950000000000003" customHeight="1" thickBot="1" x14ac:dyDescent="0.3">
      <c r="B34" s="211" t="s">
        <v>90</v>
      </c>
      <c r="C34" s="212"/>
      <c r="D34" s="212"/>
      <c r="E34" s="212"/>
      <c r="F34" s="212"/>
      <c r="G34" s="213"/>
      <c r="H34" s="213"/>
      <c r="I34" s="213"/>
      <c r="J34" s="214"/>
      <c r="K34" s="209">
        <v>1</v>
      </c>
      <c r="L34" s="210" t="s">
        <v>2</v>
      </c>
    </row>
    <row r="35" spans="1:18" s="15" customFormat="1" ht="5.0999999999999996" customHeight="1" thickBot="1" x14ac:dyDescent="0.3">
      <c r="A35" s="16"/>
      <c r="B35" s="83"/>
      <c r="C35" s="16"/>
      <c r="D35" s="16"/>
      <c r="E35" s="16"/>
      <c r="F35" s="16"/>
      <c r="G35" s="16"/>
      <c r="H35" s="16"/>
      <c r="I35" s="16"/>
      <c r="J35" s="16"/>
      <c r="K35" s="206"/>
      <c r="L35" s="185"/>
      <c r="M35" s="165"/>
      <c r="N35" s="16"/>
      <c r="O35" s="16"/>
      <c r="P35" s="16"/>
      <c r="Q35" s="16"/>
      <c r="R35" s="18"/>
    </row>
    <row r="36" spans="1:18" s="16" customFormat="1" ht="39.950000000000003" customHeight="1" thickBot="1" x14ac:dyDescent="0.3">
      <c r="B36" s="211" t="s">
        <v>90</v>
      </c>
      <c r="C36" s="212"/>
      <c r="D36" s="212"/>
      <c r="E36" s="212"/>
      <c r="F36" s="212"/>
      <c r="G36" s="213"/>
      <c r="H36" s="213"/>
      <c r="I36" s="213"/>
      <c r="J36" s="214"/>
      <c r="K36" s="209">
        <v>1</v>
      </c>
      <c r="L36" s="210" t="s">
        <v>2</v>
      </c>
    </row>
    <row r="37" spans="1:18" s="18" customFormat="1" ht="39.950000000000003" customHeight="1" x14ac:dyDescent="0.25">
      <c r="A37" s="16"/>
      <c r="M37" s="165"/>
    </row>
    <row r="38" spans="1:18" s="16" customFormat="1" ht="39.950000000000003" customHeight="1" thickBot="1" x14ac:dyDescent="0.3">
      <c r="R38" s="84"/>
    </row>
    <row r="39" spans="1:18" s="15" customFormat="1" ht="39.950000000000003" customHeight="1" thickBot="1" x14ac:dyDescent="0.3">
      <c r="B39" s="1818" t="s">
        <v>62</v>
      </c>
      <c r="C39" s="1819"/>
      <c r="D39" s="1819"/>
      <c r="E39" s="1819"/>
      <c r="F39" s="1819"/>
      <c r="G39" s="1819"/>
      <c r="H39" s="1819"/>
      <c r="I39" s="1819"/>
      <c r="J39" s="1819"/>
      <c r="K39" s="1819"/>
      <c r="L39" s="1819"/>
      <c r="M39" s="1819"/>
      <c r="N39" s="1819"/>
      <c r="O39" s="1819"/>
      <c r="P39" s="1819"/>
      <c r="Q39" s="1820"/>
    </row>
    <row r="40" spans="1:18" s="15" customFormat="1" ht="48" customHeight="1" thickBot="1" x14ac:dyDescent="0.3">
      <c r="A40" s="18"/>
      <c r="B40" s="1821" t="s">
        <v>157</v>
      </c>
      <c r="C40" s="1822"/>
      <c r="D40" s="89" t="s">
        <v>158</v>
      </c>
      <c r="E40" s="89" t="s">
        <v>159</v>
      </c>
      <c r="F40" s="89" t="s">
        <v>44</v>
      </c>
      <c r="G40" s="89" t="s">
        <v>63</v>
      </c>
      <c r="H40" s="89" t="s">
        <v>289</v>
      </c>
      <c r="I40" s="89"/>
      <c r="J40" s="89" t="s">
        <v>290</v>
      </c>
      <c r="K40" s="89"/>
      <c r="L40" s="164" t="s">
        <v>160</v>
      </c>
      <c r="M40" s="89" t="s">
        <v>44</v>
      </c>
      <c r="N40" s="164" t="s">
        <v>91</v>
      </c>
      <c r="O40" s="89" t="s">
        <v>64</v>
      </c>
      <c r="P40" s="89" t="s">
        <v>161</v>
      </c>
      <c r="Q40" s="90" t="s">
        <v>291</v>
      </c>
    </row>
    <row r="41" spans="1:18" s="16" customFormat="1" ht="39.950000000000003" customHeight="1" thickBot="1" x14ac:dyDescent="0.3">
      <c r="B41" s="91"/>
      <c r="C41" s="17"/>
      <c r="D41" s="17"/>
      <c r="E41" s="17"/>
      <c r="F41" s="17"/>
      <c r="G41" s="17"/>
      <c r="H41" s="17"/>
      <c r="I41" s="17"/>
      <c r="J41" s="17"/>
      <c r="K41" s="17"/>
      <c r="L41" s="17"/>
      <c r="M41" s="17"/>
      <c r="N41" s="17"/>
      <c r="O41" s="17"/>
      <c r="P41" s="17"/>
      <c r="Q41" s="85"/>
    </row>
    <row r="42" spans="1:18" s="15" customFormat="1" ht="39.950000000000003" customHeight="1" thickBot="1" x14ac:dyDescent="0.3">
      <c r="A42" s="1801"/>
      <c r="B42" s="1808" t="s">
        <v>292</v>
      </c>
      <c r="C42" s="1809"/>
      <c r="D42" s="223" t="e">
        <f>U14</f>
        <v>#N/A</v>
      </c>
      <c r="E42" s="92"/>
      <c r="F42" s="215" t="s">
        <v>2</v>
      </c>
      <c r="G42" s="200"/>
      <c r="H42" s="201"/>
      <c r="I42" s="201"/>
      <c r="J42" s="201"/>
      <c r="K42" s="201"/>
      <c r="L42" s="201"/>
      <c r="M42" s="201"/>
      <c r="N42" s="201"/>
      <c r="O42" s="201"/>
      <c r="P42" s="201"/>
      <c r="Q42" s="13"/>
      <c r="R42" s="18"/>
    </row>
    <row r="43" spans="1:18" s="15" customFormat="1" ht="39.950000000000003" customHeight="1" x14ac:dyDescent="0.25">
      <c r="A43" s="1801"/>
      <c r="B43" s="1806" t="s">
        <v>293</v>
      </c>
      <c r="C43" s="1807"/>
      <c r="D43" s="224" t="e">
        <f>R11</f>
        <v>#N/A</v>
      </c>
      <c r="E43" s="95" t="e">
        <f>F8</f>
        <v>#N/A</v>
      </c>
      <c r="F43" s="93" t="s">
        <v>2</v>
      </c>
      <c r="G43" s="216" t="e">
        <f>G8</f>
        <v>#N/A</v>
      </c>
      <c r="H43" s="217" t="e">
        <f>E43/G43</f>
        <v>#N/A</v>
      </c>
      <c r="I43" s="114" t="str">
        <f>F42</f>
        <v>mL</v>
      </c>
      <c r="J43" s="218">
        <v>0.05</v>
      </c>
      <c r="K43" s="114" t="s">
        <v>2</v>
      </c>
      <c r="L43" s="217" t="e">
        <f>J43*H43</f>
        <v>#N/A</v>
      </c>
      <c r="M43" s="114" t="s">
        <v>2</v>
      </c>
      <c r="N43" s="226" t="e">
        <f>L43^2</f>
        <v>#N/A</v>
      </c>
      <c r="O43" s="219" t="s">
        <v>13</v>
      </c>
      <c r="P43" s="219" t="s">
        <v>65</v>
      </c>
      <c r="Q43" s="220">
        <v>50</v>
      </c>
      <c r="R43" s="18"/>
    </row>
    <row r="44" spans="1:18" s="15" customFormat="1" ht="39.950000000000003" customHeight="1" x14ac:dyDescent="0.25">
      <c r="A44" s="1801"/>
      <c r="B44" s="1804" t="s">
        <v>294</v>
      </c>
      <c r="C44" s="1805"/>
      <c r="D44" s="225" t="e">
        <f>V18</f>
        <v>#DIV/0!</v>
      </c>
      <c r="E44" s="95" t="e">
        <f>D8</f>
        <v>#N/A</v>
      </c>
      <c r="F44" s="93" t="s">
        <v>2</v>
      </c>
      <c r="G44" s="94">
        <f>SQRT(3)</f>
        <v>1.7320508075688772</v>
      </c>
      <c r="H44" s="99" t="e">
        <f>SQRT((H43)^2+(Q21)^2)</f>
        <v>#N/A</v>
      </c>
      <c r="I44" s="93" t="str">
        <f>F43</f>
        <v>mL</v>
      </c>
      <c r="J44" s="97" t="e">
        <f>K28</f>
        <v>#N/A</v>
      </c>
      <c r="K44" s="93" t="s">
        <v>2</v>
      </c>
      <c r="L44" s="96" t="e">
        <f>J44*H44</f>
        <v>#N/A</v>
      </c>
      <c r="M44" s="93" t="s">
        <v>2</v>
      </c>
      <c r="N44" s="100" t="e">
        <f>L44^2</f>
        <v>#N/A</v>
      </c>
      <c r="O44" s="94" t="s">
        <v>13</v>
      </c>
      <c r="P44" s="94" t="s">
        <v>3</v>
      </c>
      <c r="Q44" s="98">
        <v>50</v>
      </c>
      <c r="R44" s="18"/>
    </row>
    <row r="45" spans="1:18" s="15" customFormat="1" ht="39.950000000000003" customHeight="1" thickBot="1" x14ac:dyDescent="0.3">
      <c r="A45" s="16"/>
      <c r="B45" s="1802" t="s">
        <v>295</v>
      </c>
      <c r="C45" s="1803"/>
      <c r="D45" s="106"/>
      <c r="E45" s="107">
        <f>I13/10</f>
        <v>1.6387060000000002</v>
      </c>
      <c r="F45" s="108" t="s">
        <v>2</v>
      </c>
      <c r="G45" s="107">
        <f>SQRT(3)</f>
        <v>1.7320508075688772</v>
      </c>
      <c r="H45" s="109">
        <f>E45/G45</f>
        <v>0.94610735022265502</v>
      </c>
      <c r="I45" s="108" t="str">
        <f>F44</f>
        <v>mL</v>
      </c>
      <c r="J45" s="109">
        <f>J43</f>
        <v>0.05</v>
      </c>
      <c r="K45" s="108" t="s">
        <v>2</v>
      </c>
      <c r="L45" s="111">
        <f>J45*H45</f>
        <v>4.7305367511132755E-2</v>
      </c>
      <c r="M45" s="108" t="s">
        <v>2</v>
      </c>
      <c r="N45" s="111">
        <f>L45^2</f>
        <v>2.2377977953633344E-3</v>
      </c>
      <c r="O45" s="107" t="s">
        <v>92</v>
      </c>
      <c r="P45" s="107" t="s">
        <v>3</v>
      </c>
      <c r="Q45" s="112" t="s">
        <v>8</v>
      </c>
      <c r="R45" s="18"/>
    </row>
    <row r="46" spans="1:18" s="16" customFormat="1" ht="39.950000000000003" customHeight="1" thickBot="1" x14ac:dyDescent="0.3">
      <c r="B46" s="101"/>
      <c r="C46" s="102"/>
      <c r="D46" s="102"/>
      <c r="E46" s="165"/>
      <c r="F46" s="103"/>
      <c r="G46" s="165"/>
      <c r="H46" s="165"/>
      <c r="I46" s="165"/>
      <c r="J46" s="104"/>
      <c r="K46" s="165"/>
      <c r="L46" s="165"/>
      <c r="M46" s="165"/>
      <c r="N46" s="227"/>
      <c r="O46" s="165"/>
      <c r="P46" s="165"/>
      <c r="Q46" s="105"/>
    </row>
    <row r="47" spans="1:18" s="15" customFormat="1" ht="39.950000000000003" customHeight="1" x14ac:dyDescent="0.25">
      <c r="A47" s="16"/>
      <c r="B47" s="1808" t="s">
        <v>296</v>
      </c>
      <c r="C47" s="1809"/>
      <c r="D47" s="221"/>
      <c r="E47" s="126">
        <f>I13/10</f>
        <v>1.6387060000000002</v>
      </c>
      <c r="F47" s="171" t="s">
        <v>2</v>
      </c>
      <c r="G47" s="126">
        <f>SQRT(3)</f>
        <v>1.7320508075688772</v>
      </c>
      <c r="H47" s="179">
        <f>E47/G47</f>
        <v>0.94610735022265502</v>
      </c>
      <c r="I47" s="171" t="str">
        <f>$I$45</f>
        <v>mL</v>
      </c>
      <c r="J47" s="180">
        <f>J43</f>
        <v>0.05</v>
      </c>
      <c r="K47" s="171" t="s">
        <v>2</v>
      </c>
      <c r="L47" s="181">
        <f>H47*J47</f>
        <v>4.7305367511132755E-2</v>
      </c>
      <c r="M47" s="171" t="s">
        <v>2</v>
      </c>
      <c r="N47" s="181">
        <f>L47^2</f>
        <v>2.2377977953633344E-3</v>
      </c>
      <c r="O47" s="126" t="s">
        <v>92</v>
      </c>
      <c r="P47" s="126" t="s">
        <v>3</v>
      </c>
      <c r="Q47" s="182" t="s">
        <v>8</v>
      </c>
      <c r="R47" s="18"/>
    </row>
    <row r="48" spans="1:18" s="15" customFormat="1" ht="39.950000000000003" customHeight="1" thickBot="1" x14ac:dyDescent="0.3">
      <c r="A48" s="16"/>
      <c r="B48" s="1802" t="s">
        <v>93</v>
      </c>
      <c r="C48" s="1803"/>
      <c r="D48" s="106"/>
      <c r="E48" s="109" t="e">
        <f>I13*((C21)/(2*F19))</f>
        <v>#DIV/0!</v>
      </c>
      <c r="F48" s="108" t="s">
        <v>2</v>
      </c>
      <c r="G48" s="107">
        <f>SQRT(12)</f>
        <v>3.4641016151377544</v>
      </c>
      <c r="H48" s="109" t="e">
        <f>E48/G48</f>
        <v>#DIV/0!</v>
      </c>
      <c r="I48" s="108" t="str">
        <f>$I$45</f>
        <v>mL</v>
      </c>
      <c r="J48" s="110">
        <v>1</v>
      </c>
      <c r="K48" s="108" t="s">
        <v>2</v>
      </c>
      <c r="L48" s="111" t="e">
        <f>H48*J48</f>
        <v>#DIV/0!</v>
      </c>
      <c r="M48" s="108" t="s">
        <v>2</v>
      </c>
      <c r="N48" s="111" t="e">
        <f>L48^2</f>
        <v>#DIV/0!</v>
      </c>
      <c r="O48" s="107"/>
      <c r="P48" s="107" t="s">
        <v>3</v>
      </c>
      <c r="Q48" s="112" t="s">
        <v>8</v>
      </c>
      <c r="R48" s="18"/>
    </row>
    <row r="49" spans="1:18" s="15" customFormat="1" ht="39.950000000000003" customHeight="1" thickBot="1" x14ac:dyDescent="0.3">
      <c r="A49" s="16"/>
      <c r="B49" s="1816" t="s">
        <v>297</v>
      </c>
      <c r="C49" s="1817"/>
      <c r="D49" s="172"/>
      <c r="E49" s="173"/>
      <c r="F49" s="108"/>
      <c r="G49" s="173"/>
      <c r="H49" s="175" t="e">
        <f>V16</f>
        <v>#N/A</v>
      </c>
      <c r="I49" s="174" t="str">
        <f>$I$45</f>
        <v>mL</v>
      </c>
      <c r="J49" s="176">
        <v>1</v>
      </c>
      <c r="K49" s="174" t="s">
        <v>2</v>
      </c>
      <c r="L49" s="177" t="e">
        <f>H49*J49</f>
        <v>#N/A</v>
      </c>
      <c r="M49" s="174" t="s">
        <v>2</v>
      </c>
      <c r="N49" s="177" t="e">
        <f>L49^2</f>
        <v>#N/A</v>
      </c>
      <c r="O49" s="173"/>
      <c r="P49" s="173" t="s">
        <v>3</v>
      </c>
      <c r="Q49" s="178">
        <v>2</v>
      </c>
      <c r="R49" s="18"/>
    </row>
    <row r="50" spans="1:18" s="36" customFormat="1" ht="39.950000000000003" customHeight="1" thickBot="1" x14ac:dyDescent="0.25">
      <c r="K50" s="113"/>
      <c r="L50" s="25"/>
      <c r="M50" s="185"/>
      <c r="N50" s="228" t="e">
        <f>SQRT(SUM(N42:N45,N47,N48,N49))</f>
        <v>#N/A</v>
      </c>
      <c r="O50" s="186" t="s">
        <v>2</v>
      </c>
      <c r="P50" s="26"/>
    </row>
    <row r="51" spans="1:18" s="36" customFormat="1" ht="39.950000000000003" customHeight="1" thickBot="1" x14ac:dyDescent="0.25">
      <c r="K51" s="115"/>
      <c r="L51" s="25"/>
      <c r="M51" s="116" t="s">
        <v>66</v>
      </c>
      <c r="N51" s="189" t="e">
        <f>N50*O53</f>
        <v>#N/A</v>
      </c>
      <c r="O51" s="190" t="s">
        <v>2</v>
      </c>
      <c r="P51" s="25"/>
    </row>
    <row r="52" spans="1:18" s="36" customFormat="1" ht="39.950000000000003" customHeight="1" thickBot="1" x14ac:dyDescent="0.25">
      <c r="L52" s="84"/>
      <c r="N52" s="187"/>
      <c r="O52" s="188" t="s">
        <v>63</v>
      </c>
      <c r="P52" s="117"/>
    </row>
    <row r="53" spans="1:18" s="36" customFormat="1" ht="39.950000000000003" customHeight="1" thickBot="1" x14ac:dyDescent="0.25">
      <c r="A53" s="118"/>
      <c r="L53" s="169" t="s">
        <v>298</v>
      </c>
      <c r="M53" s="170"/>
      <c r="N53" s="222" t="e">
        <f>(N50^4)/((L43^4/Q43)+(L44^4/Q44)+(L49^4/Q49))</f>
        <v>#N/A</v>
      </c>
      <c r="O53" s="183" t="e">
        <f>_xlfn.T.INV.2T(0.05,N53)</f>
        <v>#N/A</v>
      </c>
      <c r="P53" s="184" t="e">
        <f>TINV(0.05,N53)</f>
        <v>#N/A</v>
      </c>
    </row>
    <row r="54" spans="1:18" s="36" customFormat="1" ht="39.950000000000003" customHeight="1" thickBot="1" x14ac:dyDescent="0.25">
      <c r="B54" s="1846" t="s">
        <v>67</v>
      </c>
      <c r="C54" s="1847"/>
      <c r="D54" s="1847"/>
      <c r="E54" s="1847"/>
      <c r="F54" s="1847"/>
      <c r="G54" s="1848"/>
      <c r="I54" s="124" t="s">
        <v>207</v>
      </c>
      <c r="O54" s="137"/>
    </row>
    <row r="55" spans="1:18" s="36" customFormat="1" ht="39.950000000000003" customHeight="1" thickBot="1" x14ac:dyDescent="0.25">
      <c r="B55" s="191" t="s">
        <v>47</v>
      </c>
      <c r="C55" s="192" t="s">
        <v>299</v>
      </c>
      <c r="D55" s="192" t="s">
        <v>300</v>
      </c>
      <c r="E55" s="193" t="s">
        <v>63</v>
      </c>
      <c r="F55" s="192" t="s">
        <v>4</v>
      </c>
      <c r="G55" s="194" t="s">
        <v>223</v>
      </c>
      <c r="I55" s="229"/>
    </row>
    <row r="56" spans="1:18" s="36" customFormat="1" ht="39.950000000000003" customHeight="1" x14ac:dyDescent="0.2">
      <c r="B56" s="125" t="s">
        <v>2</v>
      </c>
      <c r="C56" s="195" t="e">
        <f>V14</f>
        <v>#N/A</v>
      </c>
      <c r="D56" s="196" t="e">
        <f>N50</f>
        <v>#N/A</v>
      </c>
      <c r="E56" s="1839">
        <v>2</v>
      </c>
      <c r="F56" s="197" t="e">
        <f>D56*E56</f>
        <v>#N/A</v>
      </c>
      <c r="G56" s="1836">
        <v>95</v>
      </c>
    </row>
    <row r="57" spans="1:18" s="36" customFormat="1" ht="39.950000000000003" customHeight="1" x14ac:dyDescent="0.2">
      <c r="B57" s="127" t="s">
        <v>148</v>
      </c>
      <c r="C57" s="130" t="e">
        <f>C56/J22</f>
        <v>#N/A</v>
      </c>
      <c r="D57" s="134" t="e">
        <f>C57/J22</f>
        <v>#N/A</v>
      </c>
      <c r="E57" s="1840"/>
      <c r="F57" s="198" t="e">
        <f>F56/J22</f>
        <v>#N/A</v>
      </c>
      <c r="G57" s="1837"/>
    </row>
    <row r="58" spans="1:18" s="36" customFormat="1" ht="39.950000000000003" customHeight="1" thickBot="1" x14ac:dyDescent="0.25">
      <c r="B58" s="128" t="s">
        <v>209</v>
      </c>
      <c r="C58" s="129" t="e">
        <f>(C57*100)/K20</f>
        <v>#N/A</v>
      </c>
      <c r="D58" s="135" t="e">
        <f>(D57*100)/1155</f>
        <v>#N/A</v>
      </c>
      <c r="E58" s="1841"/>
      <c r="F58" s="199" t="e">
        <f>(F57*100)/K20</f>
        <v>#N/A</v>
      </c>
      <c r="G58" s="1838"/>
    </row>
    <row r="59" spans="1:18" s="36" customFormat="1" x14ac:dyDescent="0.2"/>
    <row r="60" spans="1:18" s="36" customFormat="1" x14ac:dyDescent="0.2"/>
    <row r="61" spans="1:18" s="36" customFormat="1" x14ac:dyDescent="0.2"/>
  </sheetData>
  <sheetProtection password="CF5C" sheet="1" objects="1" scenarios="1"/>
  <dataConsolidate link="1"/>
  <mergeCells count="45">
    <mergeCell ref="G17:K17"/>
    <mergeCell ref="G56:G58"/>
    <mergeCell ref="E56:E58"/>
    <mergeCell ref="R11:R13"/>
    <mergeCell ref="Q8:Q10"/>
    <mergeCell ref="B54:G54"/>
    <mergeCell ref="B11:C11"/>
    <mergeCell ref="D11:E11"/>
    <mergeCell ref="B10:E10"/>
    <mergeCell ref="J8:K8"/>
    <mergeCell ref="Q11:Q13"/>
    <mergeCell ref="T8:T10"/>
    <mergeCell ref="U8:U10"/>
    <mergeCell ref="V8:V10"/>
    <mergeCell ref="B48:C48"/>
    <mergeCell ref="B49:C49"/>
    <mergeCell ref="B39:Q39"/>
    <mergeCell ref="B40:C40"/>
    <mergeCell ref="H8:I8"/>
    <mergeCell ref="R8:R10"/>
    <mergeCell ref="S8:S10"/>
    <mergeCell ref="Q19:S20"/>
    <mergeCell ref="Q21:S21"/>
    <mergeCell ref="B24:L24"/>
    <mergeCell ref="H10:I10"/>
    <mergeCell ref="B17:F17"/>
    <mergeCell ref="B47:C47"/>
    <mergeCell ref="A42:A44"/>
    <mergeCell ref="B45:C45"/>
    <mergeCell ref="B44:C44"/>
    <mergeCell ref="B43:C43"/>
    <mergeCell ref="B42:C42"/>
    <mergeCell ref="A1:B1"/>
    <mergeCell ref="L6:P7"/>
    <mergeCell ref="D3:E3"/>
    <mergeCell ref="G3:H3"/>
    <mergeCell ref="J3:K3"/>
    <mergeCell ref="P3:R3"/>
    <mergeCell ref="Q6:V7"/>
    <mergeCell ref="A6:G6"/>
    <mergeCell ref="H6:I6"/>
    <mergeCell ref="J6:K6"/>
    <mergeCell ref="H7:I7"/>
    <mergeCell ref="D1:W1"/>
    <mergeCell ref="M3:N3"/>
  </mergeCells>
  <pageMargins left="0.70866141732283472" right="0.70866141732283472" top="0.74803149606299213" bottom="0.74803149606299213" header="0.31496062992125984" footer="0.31496062992125984"/>
  <pageSetup scale="10" orientation="landscape" horizontalDpi="4294967293" r:id="rId1"/>
  <headerFooter>
    <oddFooter>&amp;RRT03-F11 Vr.10 (2021-01-22)</oddFooter>
  </headerFooter>
  <rowBreaks count="1" manualBreakCount="1">
    <brk id="36" max="22" man="1"/>
  </rowBreaks>
  <colBreaks count="1" manualBreakCount="1">
    <brk id="26" max="63" man="1"/>
  </colBreaks>
  <ignoredErrors>
    <ignoredError sqref="Q11:R11"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0000000}">
          <x14:formula1>
            <xm:f>'DATOS &amp;'!$D$7:$D$9</xm:f>
          </x14:formula1>
          <xm:sqref>S3</xm:sqref>
        </x14:dataValidation>
        <x14:dataValidation type="list" allowBlank="1" showInputMessage="1" showErrorMessage="1" xr:uid="{00000000-0002-0000-0500-000001000000}">
          <x14:formula1>
            <xm:f>'DATOS &amp;'!$P$9:$P$13</xm:f>
          </x14:formula1>
          <xm:sqref>K7</xm:sqref>
        </x14:dataValidation>
        <x14:dataValidation type="list" allowBlank="1" showInputMessage="1" showErrorMessage="1" xr:uid="{00000000-0002-0000-0500-000002000000}">
          <x14:formula1>
            <xm:f>'DATOS &amp;'!$AC$114:$AC$117</xm:f>
          </x14:formula1>
          <xm:sqref>F12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66CC"/>
  </sheetPr>
  <dimension ref="A1:Y163"/>
  <sheetViews>
    <sheetView showGridLines="0" view="pageBreakPreview" zoomScale="70" zoomScaleNormal="100" zoomScaleSheetLayoutView="70" workbookViewId="0">
      <selection activeCell="A12" sqref="A12:J12"/>
    </sheetView>
  </sheetViews>
  <sheetFormatPr baseColWidth="10" defaultColWidth="11.42578125" defaultRowHeight="15.75" x14ac:dyDescent="0.25"/>
  <cols>
    <col min="1" max="1" width="5.7109375" style="842" customWidth="1"/>
    <col min="2" max="2" width="11.42578125" style="842" customWidth="1"/>
    <col min="3" max="3" width="7.85546875" style="842" customWidth="1"/>
    <col min="4" max="4" width="12.42578125" style="842" customWidth="1"/>
    <col min="5" max="5" width="11.5703125" style="842" customWidth="1"/>
    <col min="6" max="6" width="12.7109375" style="842" customWidth="1"/>
    <col min="7" max="7" width="12.28515625" style="842" customWidth="1"/>
    <col min="8" max="8" width="12.5703125" style="842" customWidth="1"/>
    <col min="9" max="9" width="18" style="842" customWidth="1"/>
    <col min="10" max="10" width="9.42578125" style="842" customWidth="1"/>
    <col min="11" max="11" width="15.7109375" style="842" customWidth="1"/>
    <col min="12" max="12" width="8.28515625" style="842" customWidth="1"/>
    <col min="13" max="13" width="10.140625" style="842" customWidth="1"/>
    <col min="14" max="14" width="8" style="842" customWidth="1"/>
    <col min="15" max="15" width="13.85546875" style="842" customWidth="1"/>
    <col min="16" max="16" width="0.5703125" style="842" customWidth="1"/>
    <col min="17" max="17" width="1.7109375" style="842" customWidth="1"/>
    <col min="18" max="16384" width="11.42578125" style="842"/>
  </cols>
  <sheetData>
    <row r="1" spans="1:11" ht="125.1" customHeight="1" x14ac:dyDescent="0.25">
      <c r="A1" s="1863"/>
      <c r="B1" s="1863"/>
      <c r="C1" s="1863"/>
      <c r="D1" s="1863"/>
      <c r="E1" s="1863"/>
      <c r="F1" s="1863"/>
      <c r="G1" s="1863"/>
      <c r="H1" s="1863"/>
      <c r="I1" s="1863"/>
      <c r="J1" s="1863"/>
      <c r="K1" s="1863"/>
    </row>
    <row r="2" spans="1:11" ht="35.1" customHeight="1" x14ac:dyDescent="0.25">
      <c r="A2" s="843"/>
      <c r="B2" s="843"/>
      <c r="C2" s="843"/>
      <c r="D2" s="843"/>
      <c r="E2" s="843"/>
      <c r="F2" s="843"/>
      <c r="G2" s="843"/>
      <c r="H2" s="843"/>
      <c r="I2" s="843"/>
      <c r="J2" s="843"/>
      <c r="K2" s="843"/>
    </row>
    <row r="3" spans="1:11" ht="35.1" customHeight="1" x14ac:dyDescent="0.25">
      <c r="A3" s="843"/>
      <c r="B3" s="843"/>
      <c r="C3" s="843"/>
      <c r="D3" s="843"/>
      <c r="E3" s="843"/>
      <c r="F3" s="843"/>
      <c r="G3" s="1952" t="s">
        <v>512</v>
      </c>
      <c r="H3" s="1952"/>
      <c r="I3" s="1952"/>
      <c r="J3" s="1864">
        <f>'DATOS &amp;'!N15</f>
        <v>0</v>
      </c>
      <c r="K3" s="1864"/>
    </row>
    <row r="4" spans="1:11" ht="26.1" customHeight="1" x14ac:dyDescent="0.25">
      <c r="A4" s="1865" t="s">
        <v>32</v>
      </c>
      <c r="B4" s="1865"/>
      <c r="C4" s="1865"/>
      <c r="D4" s="1865"/>
      <c r="E4" s="846"/>
      <c r="F4" s="847"/>
    </row>
    <row r="5" spans="1:11" ht="18" customHeight="1" x14ac:dyDescent="0.25">
      <c r="A5" s="848"/>
      <c r="B5" s="848"/>
      <c r="C5" s="848"/>
      <c r="D5" s="847"/>
      <c r="E5" s="847"/>
      <c r="F5" s="847"/>
    </row>
    <row r="6" spans="1:11" ht="26.1" customHeight="1" x14ac:dyDescent="0.25">
      <c r="A6" s="1859" t="s">
        <v>323</v>
      </c>
      <c r="B6" s="1859"/>
      <c r="C6" s="849"/>
      <c r="D6" s="1858">
        <f>'DATOS &amp;'!K8</f>
        <v>0</v>
      </c>
      <c r="E6" s="1858"/>
      <c r="F6" s="1858"/>
      <c r="G6" s="1858"/>
      <c r="H6" s="1858"/>
      <c r="I6" s="1858"/>
      <c r="J6" s="1858"/>
      <c r="K6" s="1858"/>
    </row>
    <row r="7" spans="1:11" ht="26.1" customHeight="1" x14ac:dyDescent="0.25">
      <c r="A7" s="1857" t="s">
        <v>324</v>
      </c>
      <c r="B7" s="1857"/>
      <c r="C7" s="850"/>
      <c r="D7" s="1858">
        <f>'DATOS &amp;'!L8</f>
        <v>0</v>
      </c>
      <c r="E7" s="1858"/>
      <c r="F7" s="1858"/>
      <c r="G7" s="1858"/>
      <c r="H7" s="1858"/>
      <c r="I7" s="1858"/>
      <c r="J7" s="1858"/>
      <c r="K7" s="1858"/>
    </row>
    <row r="8" spans="1:11" ht="26.1" customHeight="1" x14ac:dyDescent="0.25">
      <c r="A8" s="1857" t="s">
        <v>346</v>
      </c>
      <c r="B8" s="1857"/>
      <c r="C8" s="850"/>
      <c r="D8" s="1858">
        <f>'DATOS &amp;'!M8</f>
        <v>0</v>
      </c>
      <c r="E8" s="1858"/>
      <c r="F8" s="1858"/>
      <c r="G8" s="1858"/>
      <c r="H8" s="1858"/>
      <c r="I8" s="1858"/>
      <c r="J8" s="1858"/>
      <c r="K8" s="1858"/>
    </row>
    <row r="9" spans="1:11" ht="26.1" customHeight="1" x14ac:dyDescent="0.25">
      <c r="A9" s="851"/>
      <c r="B9" s="851"/>
      <c r="C9" s="848"/>
      <c r="D9" s="847"/>
      <c r="E9" s="847"/>
      <c r="F9" s="847"/>
      <c r="G9" s="847"/>
    </row>
    <row r="10" spans="1:11" ht="26.1" customHeight="1" x14ac:dyDescent="0.25">
      <c r="A10" s="1859" t="s">
        <v>325</v>
      </c>
      <c r="B10" s="1859"/>
      <c r="C10" s="1859"/>
      <c r="D10" s="1859"/>
      <c r="E10" s="1860" t="e">
        <f>'RT03-F33 &amp; '!D3</f>
        <v>#N/A</v>
      </c>
      <c r="F10" s="1860"/>
      <c r="H10" s="1861" t="s">
        <v>326</v>
      </c>
      <c r="I10" s="1861"/>
      <c r="J10" s="1862">
        <f>'DATOS &amp;'!I8</f>
        <v>0</v>
      </c>
      <c r="K10" s="1862"/>
    </row>
    <row r="11" spans="1:11" ht="26.1" customHeight="1" x14ac:dyDescent="0.25">
      <c r="A11" s="1870"/>
      <c r="B11" s="1870"/>
      <c r="C11" s="852"/>
      <c r="D11" s="1870"/>
      <c r="E11" s="1870"/>
      <c r="F11" s="1870"/>
      <c r="I11" s="853"/>
      <c r="J11" s="853"/>
      <c r="K11" s="853"/>
    </row>
    <row r="12" spans="1:11" ht="26.1" customHeight="1" x14ac:dyDescent="0.25">
      <c r="A12" s="1865" t="s">
        <v>35</v>
      </c>
      <c r="B12" s="1865"/>
      <c r="C12" s="1865"/>
      <c r="D12" s="1865"/>
      <c r="E12" s="1865"/>
      <c r="F12" s="1865"/>
      <c r="G12" s="1865"/>
      <c r="H12" s="1865"/>
      <c r="I12" s="1865"/>
      <c r="J12" s="1865"/>
      <c r="K12" s="853"/>
    </row>
    <row r="13" spans="1:11" ht="18" customHeight="1" x14ac:dyDescent="0.25">
      <c r="A13" s="849"/>
      <c r="B13" s="849"/>
      <c r="C13" s="849"/>
      <c r="D13" s="849"/>
      <c r="E13" s="849"/>
      <c r="F13" s="854"/>
      <c r="G13" s="855"/>
      <c r="H13" s="855"/>
      <c r="I13" s="856"/>
      <c r="J13" s="856"/>
      <c r="K13" s="853"/>
    </row>
    <row r="14" spans="1:11" ht="26.1" customHeight="1" x14ac:dyDescent="0.25">
      <c r="A14" s="1859" t="s">
        <v>15</v>
      </c>
      <c r="B14" s="1859"/>
      <c r="C14" s="1859"/>
      <c r="D14" s="1859"/>
      <c r="E14" s="1869" t="s">
        <v>321</v>
      </c>
      <c r="F14" s="1869"/>
      <c r="G14" s="1869"/>
      <c r="H14" s="1869"/>
      <c r="I14" s="856"/>
      <c r="J14" s="856"/>
      <c r="K14" s="853"/>
    </row>
    <row r="15" spans="1:11" ht="26.1" customHeight="1" x14ac:dyDescent="0.25">
      <c r="A15" s="1859" t="s">
        <v>263</v>
      </c>
      <c r="B15" s="1859"/>
      <c r="C15" s="1859"/>
      <c r="D15" s="1859"/>
      <c r="E15" s="1866">
        <f>'DATOS &amp;'!C15</f>
        <v>0</v>
      </c>
      <c r="F15" s="1866"/>
      <c r="G15" s="1866"/>
      <c r="H15" s="1866"/>
      <c r="I15" s="857"/>
      <c r="J15" s="856"/>
      <c r="K15" s="853"/>
    </row>
    <row r="16" spans="1:11" ht="26.1" customHeight="1" x14ac:dyDescent="0.25">
      <c r="A16" s="1859" t="s">
        <v>262</v>
      </c>
      <c r="B16" s="1859"/>
      <c r="C16" s="1859"/>
      <c r="D16" s="1859"/>
      <c r="E16" s="1866">
        <f>'DATOS &amp;'!E15</f>
        <v>0</v>
      </c>
      <c r="F16" s="1866"/>
      <c r="G16" s="1866"/>
      <c r="H16" s="1866"/>
      <c r="I16" s="857"/>
      <c r="J16" s="856"/>
      <c r="K16" s="853"/>
    </row>
    <row r="17" spans="1:25" ht="26.1" customHeight="1" x14ac:dyDescent="0.25">
      <c r="A17" s="1867" t="s">
        <v>237</v>
      </c>
      <c r="B17" s="1867"/>
      <c r="C17" s="1867"/>
      <c r="D17" s="1867"/>
      <c r="E17" s="1868">
        <f>'DATOS &amp;'!D15</f>
        <v>0</v>
      </c>
      <c r="F17" s="1868"/>
      <c r="G17" s="1868"/>
      <c r="H17" s="1868"/>
      <c r="I17" s="857"/>
      <c r="J17" s="856"/>
      <c r="K17" s="853"/>
    </row>
    <row r="18" spans="1:25" ht="26.1" customHeight="1" x14ac:dyDescent="0.25">
      <c r="A18" s="1867" t="s">
        <v>24</v>
      </c>
      <c r="B18" s="1867"/>
      <c r="C18" s="1867"/>
      <c r="D18" s="1867"/>
      <c r="E18" s="1869" t="s">
        <v>307</v>
      </c>
      <c r="F18" s="1869"/>
      <c r="G18" s="1869"/>
      <c r="H18" s="1869"/>
      <c r="I18" s="857"/>
      <c r="J18" s="856"/>
      <c r="K18" s="853"/>
    </row>
    <row r="19" spans="1:25" ht="26.1" customHeight="1" x14ac:dyDescent="0.25">
      <c r="A19" s="1867" t="s">
        <v>264</v>
      </c>
      <c r="B19" s="1867"/>
      <c r="C19" s="1867"/>
      <c r="D19" s="1867"/>
      <c r="E19" s="1869" t="s">
        <v>251</v>
      </c>
      <c r="F19" s="1869"/>
      <c r="G19" s="1869"/>
      <c r="H19" s="1869"/>
      <c r="I19" s="857"/>
      <c r="J19" s="855"/>
    </row>
    <row r="20" spans="1:25" ht="26.1" customHeight="1" x14ac:dyDescent="0.25">
      <c r="A20" s="1867" t="s">
        <v>265</v>
      </c>
      <c r="B20" s="1867"/>
      <c r="C20" s="1867"/>
      <c r="D20" s="1867"/>
      <c r="E20" s="1869" t="s">
        <v>251</v>
      </c>
      <c r="F20" s="1869"/>
      <c r="G20" s="1869"/>
      <c r="H20" s="1869"/>
      <c r="I20" s="857"/>
      <c r="J20" s="855"/>
    </row>
    <row r="21" spans="1:25" ht="26.1" customHeight="1" x14ac:dyDescent="0.25">
      <c r="A21" s="1867" t="s">
        <v>261</v>
      </c>
      <c r="B21" s="1867"/>
      <c r="C21" s="1867"/>
      <c r="D21" s="1867"/>
      <c r="E21" s="968" t="str">
        <f>'DATOS &amp;'!G15</f>
        <v>5 gal</v>
      </c>
      <c r="F21" s="969"/>
      <c r="G21" s="969"/>
      <c r="H21" s="969"/>
      <c r="I21" s="857"/>
      <c r="J21" s="855"/>
      <c r="S21" s="1870"/>
      <c r="T21" s="1870"/>
      <c r="U21" s="1870"/>
      <c r="V21" s="1870"/>
      <c r="W21" s="1870"/>
    </row>
    <row r="22" spans="1:25" ht="26.1" customHeight="1" x14ac:dyDescent="0.25">
      <c r="A22" s="1867" t="s">
        <v>166</v>
      </c>
      <c r="B22" s="1867"/>
      <c r="C22" s="1867"/>
      <c r="D22" s="1867"/>
      <c r="E22" s="970">
        <f>'DATOS &amp;'!H15</f>
        <v>8.1935299999999991</v>
      </c>
      <c r="F22" s="971" t="s">
        <v>487</v>
      </c>
      <c r="G22" s="972"/>
      <c r="H22" s="972"/>
      <c r="I22" s="857"/>
      <c r="J22" s="855"/>
      <c r="M22" s="860"/>
      <c r="N22" s="860"/>
      <c r="O22" s="860"/>
      <c r="P22" s="860"/>
      <c r="Q22" s="860"/>
      <c r="R22" s="860"/>
      <c r="S22" s="860"/>
      <c r="T22" s="860"/>
      <c r="U22" s="860"/>
      <c r="V22" s="860"/>
    </row>
    <row r="23" spans="1:25" ht="26.1" customHeight="1" x14ac:dyDescent="0.25">
      <c r="A23" s="1867" t="s">
        <v>236</v>
      </c>
      <c r="B23" s="1867"/>
      <c r="C23" s="1867"/>
      <c r="D23" s="1867"/>
      <c r="E23" s="1869" t="s">
        <v>266</v>
      </c>
      <c r="F23" s="1869"/>
      <c r="G23" s="1869"/>
      <c r="H23" s="1869"/>
      <c r="I23" s="857"/>
      <c r="J23" s="861"/>
      <c r="S23" s="1871"/>
      <c r="T23" s="1872"/>
      <c r="U23" s="1872"/>
      <c r="W23" s="1870"/>
      <c r="X23" s="1870"/>
      <c r="Y23" s="1870"/>
    </row>
    <row r="24" spans="1:25" ht="26.1" customHeight="1" x14ac:dyDescent="0.25">
      <c r="A24" s="1870"/>
      <c r="B24" s="1870"/>
      <c r="C24" s="1870"/>
      <c r="D24" s="1870"/>
      <c r="E24" s="1873"/>
      <c r="F24" s="1873"/>
      <c r="G24" s="1873"/>
      <c r="H24" s="1873"/>
      <c r="I24" s="862"/>
    </row>
    <row r="25" spans="1:25" ht="23.1" customHeight="1" x14ac:dyDescent="0.25">
      <c r="A25" s="1865" t="s">
        <v>94</v>
      </c>
      <c r="B25" s="1865"/>
      <c r="C25" s="1865"/>
      <c r="D25" s="1865"/>
      <c r="E25" s="1865"/>
      <c r="F25" s="1865"/>
      <c r="G25" s="1865"/>
      <c r="H25" s="1865"/>
      <c r="I25" s="1865"/>
      <c r="J25" s="1865"/>
      <c r="K25" s="1865"/>
    </row>
    <row r="26" spans="1:25" ht="18" customHeight="1" x14ac:dyDescent="0.25">
      <c r="A26" s="855"/>
      <c r="B26" s="855"/>
      <c r="C26" s="855"/>
      <c r="D26" s="855"/>
      <c r="E26" s="855"/>
      <c r="F26" s="855"/>
      <c r="G26" s="855"/>
      <c r="H26" s="855"/>
      <c r="I26" s="855"/>
      <c r="J26" s="855"/>
      <c r="K26" s="855"/>
    </row>
    <row r="27" spans="1:25" ht="23.1" customHeight="1" x14ac:dyDescent="0.25">
      <c r="A27" s="1874">
        <f>'DATOS &amp;'!G8</f>
        <v>0</v>
      </c>
      <c r="B27" s="1874"/>
      <c r="C27" s="1874"/>
      <c r="D27" s="1874"/>
      <c r="E27" s="1874"/>
      <c r="F27" s="1874"/>
      <c r="G27" s="1874"/>
      <c r="H27" s="1874"/>
      <c r="I27" s="1874"/>
      <c r="J27" s="1874"/>
      <c r="K27" s="1874"/>
    </row>
    <row r="28" spans="1:25" ht="26.1" customHeight="1" x14ac:dyDescent="0.25">
      <c r="A28" s="1875"/>
      <c r="B28" s="1875"/>
      <c r="C28" s="1875"/>
      <c r="D28" s="1875"/>
      <c r="E28" s="1875"/>
      <c r="F28" s="1875"/>
      <c r="G28" s="1875"/>
      <c r="H28" s="1875"/>
      <c r="I28" s="1875"/>
      <c r="J28" s="1875"/>
      <c r="K28" s="1875"/>
    </row>
    <row r="29" spans="1:25" ht="23.1" customHeight="1" x14ac:dyDescent="0.25">
      <c r="A29" s="1865" t="s">
        <v>229</v>
      </c>
      <c r="B29" s="1865"/>
      <c r="C29" s="1865"/>
      <c r="D29" s="1865"/>
      <c r="E29" s="1874">
        <f>'DATOS &amp;'!J8</f>
        <v>0</v>
      </c>
      <c r="F29" s="1874"/>
      <c r="G29" s="859"/>
      <c r="H29" s="855"/>
      <c r="I29" s="855"/>
      <c r="J29" s="855"/>
      <c r="K29" s="855"/>
    </row>
    <row r="30" spans="1:25" ht="26.1" customHeight="1" x14ac:dyDescent="0.25">
      <c r="A30" s="855"/>
      <c r="B30" s="855"/>
      <c r="C30" s="855"/>
      <c r="D30" s="855"/>
      <c r="E30" s="855"/>
      <c r="F30" s="858"/>
      <c r="G30" s="858"/>
      <c r="H30" s="855"/>
      <c r="I30" s="855"/>
      <c r="J30" s="855"/>
      <c r="K30" s="855"/>
    </row>
    <row r="31" spans="1:25" ht="23.1" customHeight="1" x14ac:dyDescent="0.25">
      <c r="A31" s="1876" t="s">
        <v>267</v>
      </c>
      <c r="B31" s="1876"/>
      <c r="C31" s="1876"/>
      <c r="D31" s="1876"/>
      <c r="E31" s="1876"/>
      <c r="F31" s="1876"/>
      <c r="G31" s="1876"/>
      <c r="H31" s="1876"/>
      <c r="I31" s="863"/>
      <c r="J31" s="864"/>
      <c r="K31" s="855"/>
    </row>
    <row r="32" spans="1:25" ht="18" customHeight="1" x14ac:dyDescent="0.25">
      <c r="A32" s="857"/>
      <c r="B32" s="857"/>
      <c r="C32" s="857"/>
      <c r="D32" s="857"/>
      <c r="E32" s="857"/>
      <c r="F32" s="857"/>
      <c r="G32" s="857"/>
      <c r="H32" s="857"/>
      <c r="I32" s="857"/>
      <c r="J32" s="855"/>
      <c r="K32" s="855"/>
    </row>
    <row r="33" spans="1:11" ht="20.100000000000001" customHeight="1" x14ac:dyDescent="0.25">
      <c r="A33" s="1878" t="s">
        <v>431</v>
      </c>
      <c r="B33" s="1878"/>
      <c r="C33" s="1878"/>
      <c r="D33" s="1878"/>
      <c r="E33" s="1878"/>
      <c r="F33" s="1878"/>
      <c r="G33" s="1878"/>
      <c r="H33" s="1878"/>
      <c r="I33" s="1878"/>
      <c r="J33" s="1878"/>
      <c r="K33" s="1878"/>
    </row>
    <row r="34" spans="1:11" ht="20.100000000000001" customHeight="1" x14ac:dyDescent="0.25">
      <c r="A34" s="1878"/>
      <c r="B34" s="1878"/>
      <c r="C34" s="1878"/>
      <c r="D34" s="1878"/>
      <c r="E34" s="1878"/>
      <c r="F34" s="1878"/>
      <c r="G34" s="1878"/>
      <c r="H34" s="1878"/>
      <c r="I34" s="1878"/>
      <c r="J34" s="1878"/>
      <c r="K34" s="1878"/>
    </row>
    <row r="35" spans="1:11" ht="18" customHeight="1" x14ac:dyDescent="0.25">
      <c r="A35" s="865"/>
      <c r="B35" s="865"/>
      <c r="C35" s="865"/>
      <c r="D35" s="865"/>
      <c r="E35" s="865"/>
      <c r="F35" s="865"/>
      <c r="G35" s="865"/>
      <c r="H35" s="865"/>
      <c r="I35" s="865"/>
      <c r="J35" s="865"/>
      <c r="K35" s="865"/>
    </row>
    <row r="36" spans="1:11" ht="125.1" customHeight="1" x14ac:dyDescent="0.25">
      <c r="A36" s="865"/>
      <c r="B36" s="865"/>
      <c r="C36" s="865"/>
      <c r="D36" s="865"/>
      <c r="E36" s="865"/>
      <c r="F36" s="865"/>
      <c r="G36" s="865"/>
      <c r="H36" s="865"/>
      <c r="I36" s="865"/>
      <c r="J36" s="865"/>
      <c r="K36" s="865"/>
    </row>
    <row r="37" spans="1:11" ht="35.1" customHeight="1" x14ac:dyDescent="0.25">
      <c r="A37" s="865"/>
      <c r="B37" s="865"/>
      <c r="C37" s="865"/>
      <c r="D37" s="865"/>
      <c r="E37" s="865"/>
      <c r="F37" s="865"/>
      <c r="G37" s="865"/>
      <c r="H37" s="865"/>
      <c r="I37" s="865"/>
      <c r="J37" s="865"/>
      <c r="K37" s="865"/>
    </row>
    <row r="38" spans="1:11" ht="35.1" customHeight="1" x14ac:dyDescent="0.25">
      <c r="A38" s="866"/>
      <c r="B38" s="866"/>
      <c r="C38" s="866"/>
      <c r="D38" s="866"/>
      <c r="E38" s="866"/>
      <c r="F38" s="866"/>
      <c r="G38" s="1952" t="s">
        <v>512</v>
      </c>
      <c r="H38" s="1952"/>
      <c r="I38" s="1952"/>
      <c r="J38" s="1864">
        <f>J3</f>
        <v>0</v>
      </c>
      <c r="K38" s="1864"/>
    </row>
    <row r="39" spans="1:11" ht="24.95" customHeight="1" x14ac:dyDescent="0.25">
      <c r="A39" s="866"/>
      <c r="B39" s="866"/>
      <c r="C39" s="866"/>
      <c r="D39" s="866"/>
      <c r="E39" s="866"/>
      <c r="F39" s="866"/>
      <c r="G39" s="866"/>
      <c r="H39" s="844"/>
      <c r="I39" s="868"/>
      <c r="J39" s="868"/>
      <c r="K39" s="843"/>
    </row>
    <row r="40" spans="1:11" ht="18" customHeight="1" x14ac:dyDescent="0.25">
      <c r="A40" s="866"/>
      <c r="B40" s="866"/>
      <c r="C40" s="866"/>
      <c r="D40" s="866"/>
      <c r="E40" s="866"/>
      <c r="F40" s="866"/>
      <c r="G40" s="866"/>
      <c r="H40" s="844"/>
      <c r="I40" s="868"/>
      <c r="J40" s="868"/>
      <c r="K40" s="843"/>
    </row>
    <row r="41" spans="1:11" ht="18" customHeight="1" x14ac:dyDescent="0.25">
      <c r="A41" s="866"/>
      <c r="B41" s="866"/>
      <c r="C41" s="866"/>
      <c r="D41" s="866"/>
      <c r="E41" s="866"/>
      <c r="F41" s="866"/>
      <c r="G41" s="866"/>
      <c r="H41" s="844"/>
      <c r="I41" s="868"/>
      <c r="J41" s="868"/>
      <c r="K41" s="843"/>
    </row>
    <row r="42" spans="1:11" ht="15.75" customHeight="1" x14ac:dyDescent="0.25">
      <c r="A42" s="866"/>
      <c r="B42" s="866"/>
      <c r="C42" s="866"/>
      <c r="D42" s="866"/>
      <c r="E42" s="866"/>
      <c r="F42" s="866"/>
      <c r="G42" s="866"/>
      <c r="H42" s="844"/>
      <c r="I42" s="868"/>
      <c r="J42" s="868"/>
      <c r="K42" s="843"/>
    </row>
    <row r="43" spans="1:11" s="871" customFormat="1" ht="23.1" customHeight="1" x14ac:dyDescent="0.2">
      <c r="A43" s="1879" t="s">
        <v>29</v>
      </c>
      <c r="B43" s="1879"/>
      <c r="C43" s="869"/>
      <c r="D43" s="869"/>
      <c r="E43" s="869"/>
      <c r="F43" s="869"/>
      <c r="G43" s="869"/>
      <c r="H43" s="869"/>
      <c r="I43" s="869"/>
      <c r="J43" s="870"/>
    </row>
    <row r="44" spans="1:11" s="871" customFormat="1" ht="24.95" customHeight="1" x14ac:dyDescent="0.2">
      <c r="A44" s="872"/>
      <c r="B44" s="869"/>
      <c r="C44" s="869"/>
      <c r="D44" s="869"/>
      <c r="E44" s="869"/>
      <c r="F44" s="869"/>
      <c r="G44" s="869"/>
      <c r="H44" s="869"/>
      <c r="I44" s="869"/>
      <c r="J44" s="870"/>
    </row>
    <row r="45" spans="1:11" s="871" customFormat="1" ht="24.95" customHeight="1" x14ac:dyDescent="0.2">
      <c r="A45" s="869"/>
      <c r="B45" s="873"/>
      <c r="C45" s="1880" t="s">
        <v>28</v>
      </c>
      <c r="D45" s="1880"/>
      <c r="E45" s="1880"/>
      <c r="F45" s="1880"/>
      <c r="G45" s="1880"/>
      <c r="H45" s="1880"/>
      <c r="I45" s="1880"/>
      <c r="J45" s="1880"/>
      <c r="K45" s="1880"/>
    </row>
    <row r="46" spans="1:11" s="871" customFormat="1" ht="12.95" customHeight="1" x14ac:dyDescent="0.2">
      <c r="A46" s="874"/>
      <c r="B46" s="874"/>
      <c r="C46" s="875"/>
      <c r="D46" s="875"/>
      <c r="E46" s="875"/>
      <c r="F46" s="875"/>
      <c r="G46" s="876"/>
      <c r="H46" s="877"/>
      <c r="I46" s="878"/>
      <c r="J46" s="878"/>
      <c r="K46" s="876"/>
    </row>
    <row r="47" spans="1:11" s="871" customFormat="1" ht="15.95" customHeight="1" x14ac:dyDescent="0.2">
      <c r="A47" s="869"/>
      <c r="B47" s="879"/>
      <c r="C47" s="1877" t="s">
        <v>226</v>
      </c>
      <c r="D47" s="1877"/>
      <c r="E47" s="1877"/>
      <c r="F47" s="1877"/>
      <c r="G47" s="1877"/>
      <c r="H47" s="1877"/>
      <c r="I47" s="1877"/>
      <c r="J47" s="1877"/>
      <c r="K47" s="1877"/>
    </row>
    <row r="48" spans="1:11" s="871" customFormat="1" ht="15.95" customHeight="1" x14ac:dyDescent="0.2">
      <c r="A48" s="869"/>
      <c r="B48" s="879"/>
      <c r="C48" s="1877"/>
      <c r="D48" s="1877"/>
      <c r="E48" s="1877"/>
      <c r="F48" s="1877"/>
      <c r="G48" s="1877"/>
      <c r="H48" s="1877"/>
      <c r="I48" s="1877"/>
      <c r="J48" s="1877"/>
      <c r="K48" s="1877"/>
    </row>
    <row r="49" spans="1:11" s="871" customFormat="1" ht="12.95" customHeight="1" x14ac:dyDescent="0.2">
      <c r="A49" s="869"/>
      <c r="B49" s="879"/>
      <c r="C49" s="880"/>
      <c r="D49" s="880"/>
      <c r="E49" s="880"/>
      <c r="F49" s="880"/>
      <c r="G49" s="880"/>
      <c r="H49" s="880"/>
      <c r="I49" s="880"/>
      <c r="J49" s="880"/>
      <c r="K49" s="880"/>
    </row>
    <row r="50" spans="1:11" s="871" customFormat="1" ht="24.95" customHeight="1" x14ac:dyDescent="0.2">
      <c r="A50" s="869"/>
      <c r="B50" s="869"/>
      <c r="C50" s="1880" t="s">
        <v>36</v>
      </c>
      <c r="D50" s="1880"/>
      <c r="E50" s="1880"/>
      <c r="F50" s="1880"/>
      <c r="G50" s="1880"/>
      <c r="H50" s="1880"/>
      <c r="I50" s="1880"/>
      <c r="J50" s="1880"/>
      <c r="K50" s="1880"/>
    </row>
    <row r="51" spans="1:11" s="871" customFormat="1" ht="12.95" customHeight="1" x14ac:dyDescent="0.2">
      <c r="A51" s="869"/>
      <c r="B51" s="869"/>
      <c r="C51" s="880"/>
      <c r="D51" s="880"/>
      <c r="E51" s="880"/>
      <c r="F51" s="880"/>
      <c r="G51" s="880"/>
      <c r="H51" s="880"/>
      <c r="I51" s="880"/>
      <c r="J51" s="880"/>
      <c r="K51" s="880"/>
    </row>
    <row r="52" spans="1:11" s="871" customFormat="1" ht="24.95" customHeight="1" x14ac:dyDescent="0.2">
      <c r="A52" s="869"/>
      <c r="B52" s="869"/>
      <c r="C52" s="1877" t="s">
        <v>227</v>
      </c>
      <c r="D52" s="1877"/>
      <c r="E52" s="1877"/>
      <c r="F52" s="1877"/>
      <c r="G52" s="1877"/>
      <c r="H52" s="1877"/>
      <c r="I52" s="1877"/>
      <c r="J52" s="1877"/>
      <c r="K52" s="1877"/>
    </row>
    <row r="53" spans="1:11" s="871" customFormat="1" ht="12.95" customHeight="1" x14ac:dyDescent="0.2">
      <c r="A53" s="869"/>
      <c r="B53" s="869"/>
      <c r="C53" s="880"/>
      <c r="D53" s="880"/>
      <c r="E53" s="880"/>
      <c r="F53" s="880"/>
      <c r="G53" s="880"/>
      <c r="H53" s="880"/>
      <c r="I53" s="880"/>
      <c r="J53" s="880"/>
      <c r="K53" s="880"/>
    </row>
    <row r="54" spans="1:11" s="871" customFormat="1" ht="24.95" customHeight="1" x14ac:dyDescent="0.2">
      <c r="A54" s="869"/>
      <c r="B54" s="869"/>
      <c r="C54" s="1877" t="s">
        <v>37</v>
      </c>
      <c r="D54" s="1877"/>
      <c r="E54" s="1877"/>
      <c r="F54" s="1877"/>
      <c r="G54" s="1877"/>
      <c r="H54" s="1877"/>
      <c r="I54" s="1877"/>
      <c r="J54" s="1877"/>
      <c r="K54" s="1877"/>
    </row>
    <row r="55" spans="1:11" s="871" customFormat="1" ht="12.95" customHeight="1" x14ac:dyDescent="0.2">
      <c r="A55" s="869"/>
      <c r="B55" s="869"/>
      <c r="C55" s="1877"/>
      <c r="D55" s="1877"/>
      <c r="E55" s="1877"/>
      <c r="F55" s="1877"/>
      <c r="G55" s="1877"/>
      <c r="H55" s="1877"/>
      <c r="I55" s="1877"/>
      <c r="J55" s="1877"/>
      <c r="K55" s="880"/>
    </row>
    <row r="56" spans="1:11" s="871" customFormat="1" ht="24.95" customHeight="1" x14ac:dyDescent="0.2">
      <c r="A56" s="869"/>
      <c r="B56" s="871" t="s">
        <v>9</v>
      </c>
      <c r="C56" s="1877" t="s">
        <v>38</v>
      </c>
      <c r="D56" s="1877"/>
      <c r="E56" s="1877"/>
      <c r="F56" s="1877"/>
      <c r="G56" s="1877"/>
      <c r="H56" s="1877"/>
      <c r="I56" s="1877"/>
      <c r="J56" s="1877"/>
      <c r="K56" s="1877"/>
    </row>
    <row r="57" spans="1:11" s="871" customFormat="1" ht="12.95" customHeight="1" x14ac:dyDescent="0.2">
      <c r="A57" s="869"/>
      <c r="C57" s="1877"/>
      <c r="D57" s="1877"/>
      <c r="E57" s="1877"/>
      <c r="F57" s="1877"/>
      <c r="G57" s="1877"/>
      <c r="H57" s="1877"/>
      <c r="I57" s="1877"/>
      <c r="J57" s="1877"/>
      <c r="K57" s="880"/>
    </row>
    <row r="58" spans="1:11" s="871" customFormat="1" ht="24.95" customHeight="1" x14ac:dyDescent="0.2">
      <c r="A58" s="869"/>
      <c r="B58" s="869"/>
      <c r="C58" s="1877" t="s">
        <v>39</v>
      </c>
      <c r="D58" s="1877"/>
      <c r="E58" s="1877"/>
      <c r="F58" s="1877"/>
      <c r="G58" s="1877"/>
      <c r="H58" s="1877"/>
      <c r="I58" s="1877"/>
      <c r="J58" s="1877"/>
      <c r="K58" s="1877"/>
    </row>
    <row r="59" spans="1:11" s="871" customFormat="1" ht="12.95" customHeight="1" x14ac:dyDescent="0.2">
      <c r="A59" s="869"/>
      <c r="B59" s="869"/>
      <c r="C59" s="1877"/>
      <c r="D59" s="1877"/>
      <c r="E59" s="1877"/>
      <c r="F59" s="1877"/>
      <c r="G59" s="1877"/>
      <c r="H59" s="1877"/>
      <c r="I59" s="1877"/>
      <c r="J59" s="1877"/>
      <c r="K59" s="880"/>
    </row>
    <row r="60" spans="1:11" s="871" customFormat="1" ht="24.95" customHeight="1" x14ac:dyDescent="0.2">
      <c r="A60" s="869"/>
      <c r="B60" s="869"/>
      <c r="C60" s="1877" t="s">
        <v>432</v>
      </c>
      <c r="D60" s="1877"/>
      <c r="E60" s="1877"/>
      <c r="F60" s="1877"/>
      <c r="G60" s="1877"/>
      <c r="H60" s="1877"/>
      <c r="I60" s="1877"/>
      <c r="J60" s="1877"/>
      <c r="K60" s="1877"/>
    </row>
    <row r="61" spans="1:11" s="871" customFormat="1" ht="12.95" customHeight="1" x14ac:dyDescent="0.2">
      <c r="A61" s="869"/>
      <c r="B61" s="869"/>
      <c r="C61" s="1877"/>
      <c r="D61" s="1877"/>
      <c r="E61" s="1877"/>
      <c r="F61" s="1877"/>
      <c r="G61" s="1877"/>
      <c r="H61" s="1877"/>
      <c r="I61" s="1877"/>
      <c r="J61" s="1877"/>
      <c r="K61" s="880"/>
    </row>
    <row r="62" spans="1:11" s="871" customFormat="1" ht="24.95" customHeight="1" x14ac:dyDescent="0.2">
      <c r="A62" s="869"/>
      <c r="B62" s="869"/>
      <c r="C62" s="1883" t="s">
        <v>488</v>
      </c>
      <c r="D62" s="1883"/>
      <c r="E62" s="1883"/>
      <c r="F62" s="1883"/>
      <c r="G62" s="959">
        <f>'DATOS &amp;'!F15</f>
        <v>15.56</v>
      </c>
      <c r="H62" s="881"/>
      <c r="I62" s="881"/>
      <c r="J62" s="881"/>
      <c r="K62" s="881"/>
    </row>
    <row r="63" spans="1:11" s="871" customFormat="1" ht="12.95" customHeight="1" x14ac:dyDescent="0.2">
      <c r="A63" s="869"/>
      <c r="B63" s="869"/>
      <c r="C63" s="1877"/>
      <c r="D63" s="1877"/>
      <c r="E63" s="1877"/>
      <c r="F63" s="1877"/>
      <c r="G63" s="1877"/>
      <c r="H63" s="1877"/>
      <c r="I63" s="1877"/>
      <c r="J63" s="1877"/>
      <c r="K63" s="880"/>
    </row>
    <row r="64" spans="1:11" s="871" customFormat="1" ht="24.95" customHeight="1" x14ac:dyDescent="0.2">
      <c r="A64" s="869"/>
      <c r="B64" s="869"/>
      <c r="C64" s="1877" t="s">
        <v>327</v>
      </c>
      <c r="D64" s="1877"/>
      <c r="E64" s="1877"/>
      <c r="F64" s="1877"/>
      <c r="G64" s="1877"/>
      <c r="H64" s="1877"/>
      <c r="I64" s="1877"/>
      <c r="J64" s="1877"/>
      <c r="K64" s="880"/>
    </row>
    <row r="65" spans="1:12" s="871" customFormat="1" ht="12.95" customHeight="1" x14ac:dyDescent="0.25">
      <c r="A65" s="869"/>
      <c r="B65" s="869"/>
      <c r="C65" s="1877"/>
      <c r="D65" s="1877"/>
      <c r="E65" s="1877"/>
      <c r="F65" s="1877"/>
      <c r="G65" s="1877"/>
      <c r="H65" s="1877"/>
      <c r="I65" s="1877"/>
      <c r="J65" s="1877"/>
      <c r="K65" s="880"/>
      <c r="L65" s="842"/>
    </row>
    <row r="66" spans="1:12" s="871" customFormat="1" ht="24.95" customHeight="1" x14ac:dyDescent="0.25">
      <c r="A66" s="869"/>
      <c r="B66" s="869"/>
      <c r="C66" s="1880" t="s">
        <v>328</v>
      </c>
      <c r="D66" s="1880"/>
      <c r="E66" s="1880"/>
      <c r="F66" s="1880"/>
      <c r="G66" s="1880"/>
      <c r="H66" s="1880"/>
      <c r="I66" s="880"/>
      <c r="J66" s="880"/>
      <c r="K66" s="880"/>
      <c r="L66" s="842"/>
    </row>
    <row r="67" spans="1:12" s="871" customFormat="1" ht="12.95" customHeight="1" x14ac:dyDescent="0.25">
      <c r="A67" s="869"/>
      <c r="B67" s="869"/>
      <c r="C67" s="880"/>
      <c r="D67" s="880"/>
      <c r="E67" s="880"/>
      <c r="F67" s="880"/>
      <c r="G67" s="880"/>
      <c r="H67" s="880"/>
      <c r="I67" s="880"/>
      <c r="J67" s="880"/>
      <c r="K67" s="880"/>
      <c r="L67" s="842"/>
    </row>
    <row r="68" spans="1:12" s="871" customFormat="1" ht="24.95" customHeight="1" x14ac:dyDescent="0.25">
      <c r="A68" s="869"/>
      <c r="B68" s="869"/>
      <c r="C68" s="1880" t="s">
        <v>329</v>
      </c>
      <c r="D68" s="1880"/>
      <c r="E68" s="1880"/>
      <c r="F68" s="1880"/>
      <c r="G68" s="1880"/>
      <c r="H68" s="1880"/>
      <c r="I68" s="880"/>
      <c r="J68" s="880"/>
      <c r="K68" s="880"/>
      <c r="L68" s="842"/>
    </row>
    <row r="69" spans="1:12" s="871" customFormat="1" ht="12.95" customHeight="1" x14ac:dyDescent="0.25">
      <c r="A69" s="869"/>
      <c r="B69" s="869"/>
      <c r="C69" s="870"/>
      <c r="D69" s="870"/>
      <c r="E69" s="870"/>
      <c r="F69" s="870"/>
      <c r="G69" s="870"/>
      <c r="H69" s="870"/>
      <c r="I69" s="882"/>
      <c r="J69" s="882"/>
      <c r="K69" s="842"/>
      <c r="L69" s="842"/>
    </row>
    <row r="70" spans="1:12" ht="24.95" customHeight="1" x14ac:dyDescent="0.25">
      <c r="A70" s="869"/>
      <c r="B70" s="869"/>
      <c r="C70" s="870"/>
      <c r="D70" s="870"/>
      <c r="E70" s="870"/>
      <c r="F70" s="870"/>
      <c r="G70" s="870"/>
      <c r="H70" s="870"/>
      <c r="I70" s="882"/>
      <c r="J70" s="882"/>
    </row>
    <row r="71" spans="1:12" ht="23.1" customHeight="1" x14ac:dyDescent="0.25">
      <c r="A71" s="1876" t="s">
        <v>268</v>
      </c>
      <c r="B71" s="1876"/>
      <c r="C71" s="1876"/>
      <c r="D71" s="1876"/>
      <c r="E71" s="1876"/>
      <c r="F71" s="862"/>
      <c r="G71" s="862"/>
    </row>
    <row r="72" spans="1:12" ht="15.95" customHeight="1" x14ac:dyDescent="0.25">
      <c r="A72" s="883"/>
      <c r="B72" s="883"/>
      <c r="C72" s="883"/>
      <c r="D72" s="883"/>
      <c r="E72" s="883"/>
      <c r="F72" s="862"/>
      <c r="G72" s="862"/>
      <c r="H72" s="862"/>
      <c r="I72" s="862"/>
      <c r="J72" s="884"/>
    </row>
    <row r="73" spans="1:12" ht="15" customHeight="1" x14ac:dyDescent="0.25">
      <c r="A73" s="1881" t="s">
        <v>269</v>
      </c>
      <c r="B73" s="1881"/>
      <c r="C73" s="1881"/>
      <c r="D73" s="1881"/>
      <c r="E73" s="1881"/>
      <c r="F73" s="1881"/>
      <c r="G73" s="1881"/>
      <c r="H73" s="1881"/>
      <c r="I73" s="1881"/>
      <c r="J73" s="1881"/>
      <c r="K73" s="1881"/>
    </row>
    <row r="74" spans="1:12" ht="15.95" customHeight="1" thickBot="1" x14ac:dyDescent="0.3">
      <c r="A74" s="857"/>
      <c r="B74" s="857"/>
      <c r="C74" s="857"/>
      <c r="D74" s="857"/>
      <c r="E74" s="857"/>
      <c r="F74" s="857"/>
      <c r="G74" s="857"/>
      <c r="H74" s="857"/>
      <c r="I74" s="857"/>
      <c r="J74" s="865"/>
      <c r="K74" s="855"/>
    </row>
    <row r="75" spans="1:12" ht="20.100000000000001" customHeight="1" thickBot="1" x14ac:dyDescent="0.3">
      <c r="A75" s="857"/>
      <c r="C75" s="1882" t="s">
        <v>208</v>
      </c>
      <c r="D75" s="1882"/>
      <c r="E75" s="1882"/>
      <c r="F75" s="1882" t="s">
        <v>347</v>
      </c>
      <c r="G75" s="1882"/>
      <c r="H75" s="1882"/>
      <c r="I75" s="1882" t="s">
        <v>23</v>
      </c>
      <c r="J75" s="1882"/>
      <c r="K75" s="855"/>
    </row>
    <row r="76" spans="1:12" ht="36" customHeight="1" thickBot="1" x14ac:dyDescent="0.3">
      <c r="A76" s="863"/>
      <c r="B76" s="885"/>
      <c r="C76" s="1890" t="e">
        <f>VLOOKUP($B$76,'DATOS &amp;'!Q26:T28,2,FALSE)</f>
        <v>#N/A</v>
      </c>
      <c r="D76" s="1890"/>
      <c r="E76" s="1890"/>
      <c r="F76" s="1890" t="e">
        <f>VLOOKUP($B$76,'DATOS &amp;'!Q26:T28,3,FALSE)</f>
        <v>#N/A</v>
      </c>
      <c r="G76" s="1890"/>
      <c r="H76" s="1890"/>
      <c r="I76" s="1891" t="e">
        <f>VLOOKUP($B$76,'DATOS &amp;'!Q26:T28,4,FALSE)</f>
        <v>#N/A</v>
      </c>
      <c r="J76" s="1891"/>
      <c r="K76" s="855"/>
    </row>
    <row r="77" spans="1:12" ht="32.1" customHeight="1" x14ac:dyDescent="0.25">
      <c r="A77" s="862"/>
    </row>
    <row r="78" spans="1:12" ht="125.1" customHeight="1" x14ac:dyDescent="0.25">
      <c r="A78" s="862"/>
    </row>
    <row r="79" spans="1:12" ht="35.1" customHeight="1" x14ac:dyDescent="0.25">
      <c r="A79" s="862"/>
    </row>
    <row r="80" spans="1:12" ht="35.1" customHeight="1" x14ac:dyDescent="0.25">
      <c r="A80" s="862"/>
      <c r="G80" s="1952" t="s">
        <v>512</v>
      </c>
      <c r="H80" s="1952"/>
      <c r="I80" s="1952"/>
      <c r="J80" s="1864">
        <f>J3</f>
        <v>0</v>
      </c>
      <c r="K80" s="1864"/>
    </row>
    <row r="81" spans="1:12" ht="24.95" customHeight="1" x14ac:dyDescent="0.25">
      <c r="A81" s="1876" t="s">
        <v>270</v>
      </c>
      <c r="B81" s="1876"/>
      <c r="C81" s="1876"/>
      <c r="D81" s="1876"/>
      <c r="E81" s="1876"/>
      <c r="F81" s="857"/>
      <c r="G81" s="857"/>
      <c r="H81" s="857"/>
      <c r="I81" s="857"/>
      <c r="J81" s="886"/>
      <c r="K81" s="855"/>
    </row>
    <row r="82" spans="1:12" ht="9.9499999999999993" customHeight="1" x14ac:dyDescent="0.25">
      <c r="A82" s="864"/>
      <c r="B82" s="857"/>
      <c r="C82" s="857"/>
      <c r="D82" s="857"/>
      <c r="E82" s="857"/>
      <c r="F82" s="857"/>
      <c r="G82" s="857"/>
      <c r="H82" s="857"/>
      <c r="I82" s="857"/>
      <c r="J82" s="865"/>
      <c r="K82" s="855"/>
    </row>
    <row r="83" spans="1:12" ht="17.100000000000001" customHeight="1" x14ac:dyDescent="0.25">
      <c r="A83" s="1884" t="s">
        <v>489</v>
      </c>
      <c r="B83" s="1884"/>
      <c r="C83" s="1884"/>
      <c r="D83" s="1884"/>
      <c r="E83" s="1884"/>
      <c r="F83" s="1884"/>
      <c r="G83" s="1884"/>
      <c r="H83" s="1884"/>
      <c r="I83" s="1884"/>
      <c r="J83" s="1884"/>
      <c r="K83" s="1884"/>
    </row>
    <row r="84" spans="1:12" ht="17.100000000000001" customHeight="1" x14ac:dyDescent="0.25">
      <c r="A84" s="1884"/>
      <c r="B84" s="1884"/>
      <c r="C84" s="1884"/>
      <c r="D84" s="1884"/>
      <c r="E84" s="1884"/>
      <c r="F84" s="1884"/>
      <c r="G84" s="1884"/>
      <c r="H84" s="1884"/>
      <c r="I84" s="1884"/>
      <c r="J84" s="1884"/>
      <c r="K84" s="1884"/>
    </row>
    <row r="85" spans="1:12" ht="15.95" customHeight="1" x14ac:dyDescent="0.25">
      <c r="A85" s="887"/>
      <c r="B85" s="887"/>
      <c r="C85" s="887"/>
      <c r="D85" s="887"/>
      <c r="E85" s="887"/>
      <c r="F85" s="887"/>
      <c r="G85" s="887"/>
      <c r="H85" s="887"/>
      <c r="I85" s="887"/>
      <c r="J85" s="887"/>
      <c r="K85" s="888"/>
    </row>
    <row r="86" spans="1:12" s="891" customFormat="1" ht="24.95" customHeight="1" x14ac:dyDescent="0.3">
      <c r="A86" s="1876" t="s">
        <v>271</v>
      </c>
      <c r="B86" s="1876"/>
      <c r="C86" s="1876"/>
      <c r="D86" s="1876"/>
      <c r="E86" s="1876"/>
      <c r="F86" s="889"/>
      <c r="G86" s="889"/>
      <c r="H86" s="888"/>
      <c r="I86" s="888"/>
      <c r="J86" s="890"/>
      <c r="K86" s="888"/>
    </row>
    <row r="87" spans="1:12" ht="9.9499999999999993" customHeight="1" x14ac:dyDescent="0.25">
      <c r="A87" s="892"/>
      <c r="B87" s="892"/>
      <c r="C87" s="892"/>
      <c r="D87" s="892"/>
      <c r="E87" s="892"/>
      <c r="F87" s="857"/>
      <c r="G87" s="857"/>
      <c r="H87" s="855"/>
      <c r="I87" s="855"/>
      <c r="J87" s="865"/>
      <c r="K87" s="855"/>
    </row>
    <row r="88" spans="1:12" ht="42.75" customHeight="1" x14ac:dyDescent="0.25">
      <c r="A88" s="1884" t="s">
        <v>259</v>
      </c>
      <c r="B88" s="1884"/>
      <c r="C88" s="1884"/>
      <c r="D88" s="1884"/>
      <c r="E88" s="1884"/>
      <c r="F88" s="1884"/>
      <c r="G88" s="1884"/>
      <c r="H88" s="1884"/>
      <c r="I88" s="1884"/>
      <c r="J88" s="1884"/>
      <c r="K88" s="1884"/>
    </row>
    <row r="89" spans="1:12" ht="15.95" customHeight="1" thickBot="1" x14ac:dyDescent="0.3">
      <c r="A89" s="893"/>
      <c r="B89" s="893"/>
      <c r="C89" s="893"/>
      <c r="D89" s="893"/>
      <c r="E89" s="893"/>
      <c r="F89" s="893"/>
      <c r="G89" s="893"/>
      <c r="H89" s="893"/>
      <c r="I89" s="893"/>
      <c r="J89" s="893"/>
    </row>
    <row r="90" spans="1:12" ht="33" customHeight="1" thickBot="1" x14ac:dyDescent="0.3">
      <c r="A90" s="1885" t="s">
        <v>40</v>
      </c>
      <c r="B90" s="1886"/>
      <c r="C90" s="1887"/>
      <c r="D90" s="894" t="s">
        <v>26</v>
      </c>
      <c r="E90" s="1888" t="s">
        <v>260</v>
      </c>
      <c r="F90" s="1889"/>
      <c r="G90" s="1885" t="s">
        <v>41</v>
      </c>
      <c r="H90" s="1886"/>
      <c r="I90" s="1885" t="s">
        <v>42</v>
      </c>
      <c r="J90" s="1887"/>
      <c r="K90" s="895"/>
    </row>
    <row r="91" spans="1:12" ht="33" customHeight="1" x14ac:dyDescent="0.25">
      <c r="A91" s="1907" t="s">
        <v>308</v>
      </c>
      <c r="B91" s="1908"/>
      <c r="C91" s="1908"/>
      <c r="D91" s="973" t="str">
        <f>'DATOS &amp;'!D31</f>
        <v>Serhapin test Measure</v>
      </c>
      <c r="E91" s="1909" t="s">
        <v>330</v>
      </c>
      <c r="F91" s="1910"/>
      <c r="G91" s="1911" t="str">
        <f>'DATOS &amp;'!E31</f>
        <v xml:space="preserve">16-5935702    C-I V-005         </v>
      </c>
      <c r="H91" s="1912"/>
      <c r="I91" s="1911" t="str">
        <f>'DATOS &amp;'!L31</f>
        <v xml:space="preserve">INM 5053 </v>
      </c>
      <c r="J91" s="1913"/>
      <c r="K91" s="895"/>
    </row>
    <row r="92" spans="1:12" ht="33" customHeight="1" x14ac:dyDescent="0.25">
      <c r="A92" s="1892" t="s">
        <v>246</v>
      </c>
      <c r="B92" s="1893"/>
      <c r="C92" s="1893"/>
      <c r="D92" s="974" t="str">
        <f>'DATOS &amp;'!D38</f>
        <v xml:space="preserve">Lufft </v>
      </c>
      <c r="E92" s="1894" t="s">
        <v>337</v>
      </c>
      <c r="F92" s="1895"/>
      <c r="G92" s="1896" t="str">
        <f>'DATOS &amp;'!E44</f>
        <v xml:space="preserve">004,0816,1212,006 / pt 347980,002     </v>
      </c>
      <c r="H92" s="1897"/>
      <c r="I92" s="1896" t="str">
        <f>'DATOS &amp;'!L44</f>
        <v>INM 4539</v>
      </c>
      <c r="J92" s="1898"/>
      <c r="K92" s="895"/>
    </row>
    <row r="93" spans="1:12" ht="33" customHeight="1" x14ac:dyDescent="0.25">
      <c r="A93" s="1892" t="s">
        <v>247</v>
      </c>
      <c r="B93" s="1893"/>
      <c r="C93" s="1893"/>
      <c r="D93" s="974" t="str">
        <f>'DATOS &amp;'!D44</f>
        <v xml:space="preserve">Lufft </v>
      </c>
      <c r="E93" s="1894" t="s">
        <v>337</v>
      </c>
      <c r="F93" s="1895"/>
      <c r="G93" s="1896" t="str">
        <f>'DATOS &amp;'!E38</f>
        <v xml:space="preserve">22,1014,1212,,005 / pt 347980,004     </v>
      </c>
      <c r="H93" s="1897"/>
      <c r="I93" s="1896" t="str">
        <f>'DATOS &amp;'!L38</f>
        <v>INM 4538</v>
      </c>
      <c r="J93" s="1898"/>
      <c r="K93" s="895"/>
    </row>
    <row r="94" spans="1:12" ht="33" customHeight="1" thickBot="1" x14ac:dyDescent="0.3">
      <c r="A94" s="1899" t="s">
        <v>18</v>
      </c>
      <c r="B94" s="1900"/>
      <c r="C94" s="1900"/>
      <c r="D94" s="975" t="e">
        <f>VLOOKUP(K94,'DATOS &amp;'!$C$112:$L$118,2,FALSE)</f>
        <v>#N/A</v>
      </c>
      <c r="E94" s="1901" t="e">
        <f>VLOOKUP(K94,'DATOS &amp;'!$C$112:$M$118,11,FALSE)</f>
        <v>#N/A</v>
      </c>
      <c r="F94" s="1902"/>
      <c r="G94" s="1903" t="e">
        <f>VLOOKUP(K94,'DATOS &amp;'!$C$112:$L$118,3,FALSE)</f>
        <v>#N/A</v>
      </c>
      <c r="H94" s="1904"/>
      <c r="I94" s="1905" t="e">
        <f>VLOOKUP(K94,'DATOS &amp;'!$C$112:$L$118,10,FALSE)</f>
        <v>#N/A</v>
      </c>
      <c r="J94" s="1906"/>
      <c r="K94" s="896"/>
    </row>
    <row r="95" spans="1:12" ht="24.95" customHeight="1" x14ac:dyDescent="0.25">
      <c r="B95" s="851"/>
      <c r="C95" s="851"/>
      <c r="D95" s="987"/>
      <c r="E95" s="987"/>
      <c r="F95" s="988"/>
      <c r="G95" s="987"/>
      <c r="H95" s="987"/>
      <c r="I95" s="987"/>
      <c r="J95" s="987"/>
      <c r="K95" s="898"/>
      <c r="L95" s="898"/>
    </row>
    <row r="96" spans="1:12" s="891" customFormat="1" ht="24.95" customHeight="1" x14ac:dyDescent="0.3">
      <c r="A96" s="1876" t="s">
        <v>272</v>
      </c>
      <c r="B96" s="1876"/>
      <c r="C96" s="1876"/>
      <c r="D96" s="1876"/>
      <c r="E96" s="1876"/>
      <c r="F96" s="1876"/>
      <c r="G96" s="1876"/>
      <c r="H96" s="1876"/>
      <c r="I96" s="1876"/>
      <c r="J96" s="1876"/>
      <c r="K96" s="1876"/>
      <c r="L96" s="899"/>
    </row>
    <row r="97" spans="1:12" s="891" customFormat="1" ht="12" customHeight="1" x14ac:dyDescent="0.3">
      <c r="A97" s="900"/>
      <c r="B97" s="900"/>
      <c r="C97" s="900"/>
      <c r="D97" s="900"/>
      <c r="E97" s="900"/>
      <c r="F97" s="874"/>
      <c r="G97" s="874"/>
      <c r="H97" s="874"/>
      <c r="I97" s="874"/>
      <c r="J97" s="901"/>
      <c r="K97" s="899"/>
      <c r="L97" s="899"/>
    </row>
    <row r="98" spans="1:12" ht="15" customHeight="1" thickBot="1" x14ac:dyDescent="0.3">
      <c r="A98" s="1914" t="s">
        <v>228</v>
      </c>
      <c r="B98" s="1914"/>
      <c r="C98" s="1914"/>
      <c r="D98" s="1914"/>
      <c r="E98" s="1914"/>
      <c r="F98" s="1914"/>
      <c r="G98" s="1914"/>
      <c r="H98" s="1914"/>
      <c r="I98" s="1914"/>
      <c r="J98" s="901"/>
      <c r="K98" s="898"/>
      <c r="L98" s="898"/>
    </row>
    <row r="99" spans="1:12" ht="30" customHeight="1" thickBot="1" x14ac:dyDescent="0.3">
      <c r="A99" s="1888" t="s">
        <v>19</v>
      </c>
      <c r="B99" s="1889"/>
      <c r="C99" s="1888" t="s">
        <v>20</v>
      </c>
      <c r="D99" s="1915"/>
      <c r="E99" s="1889"/>
      <c r="F99" s="1888" t="s">
        <v>243</v>
      </c>
      <c r="G99" s="1889"/>
      <c r="H99" s="902" t="s">
        <v>309</v>
      </c>
      <c r="I99" s="903"/>
      <c r="J99" s="904" t="s">
        <v>340</v>
      </c>
      <c r="K99" s="960" t="s">
        <v>490</v>
      </c>
    </row>
    <row r="100" spans="1:12" s="898" customFormat="1" ht="24" customHeight="1" thickBot="1" x14ac:dyDescent="0.3">
      <c r="A100" s="1916" t="e">
        <f>'RT03-F33 &amp; '!#REF!</f>
        <v>#REF!</v>
      </c>
      <c r="B100" s="1917"/>
      <c r="C100" s="1922">
        <f>'RT03-F33 &amp; '!M58</f>
        <v>0</v>
      </c>
      <c r="D100" s="1922"/>
      <c r="E100" s="976" t="s">
        <v>2</v>
      </c>
      <c r="F100" s="905" t="e">
        <f>'RT03-F33 &amp; '!B194</f>
        <v>#N/A</v>
      </c>
      <c r="G100" s="978" t="s">
        <v>2</v>
      </c>
      <c r="H100" s="230" t="e">
        <f>IF('RT03-F33 &amp; '!E194&lt;=('CMC &amp;'!I12),5,'RT03-F33 &amp; '!E194)</f>
        <v>#N/A</v>
      </c>
      <c r="I100" s="978" t="s">
        <v>2</v>
      </c>
      <c r="J100" s="906" t="e">
        <f>'RT03-F33 &amp; '!H194</f>
        <v>#N/A</v>
      </c>
      <c r="K100" s="1923" t="e">
        <f>IF(AND('Pc &amp;'!H5&gt;=97.5%,'Pc &amp;'!I5&lt;=2.5%),"SI","NO")</f>
        <v>#N/A</v>
      </c>
    </row>
    <row r="101" spans="1:12" s="898" customFormat="1" ht="24" customHeight="1" thickBot="1" x14ac:dyDescent="0.3">
      <c r="A101" s="1918"/>
      <c r="B101" s="1919"/>
      <c r="C101" s="1922">
        <f>'RT03-F33 &amp; '!M56</f>
        <v>0</v>
      </c>
      <c r="D101" s="1922"/>
      <c r="E101" s="977" t="s">
        <v>513</v>
      </c>
      <c r="F101" s="907" t="e">
        <f>'RT03-F33 &amp; '!B195</f>
        <v>#N/A</v>
      </c>
      <c r="G101" s="979" t="s">
        <v>513</v>
      </c>
      <c r="H101" s="908" t="e">
        <f>IF('RT03-F33 &amp; '!E195&lt;=('CMC &amp;'!J12),0.31,'RT03-F33 &amp; '!E195)</f>
        <v>#N/A</v>
      </c>
      <c r="I101" s="979" t="s">
        <v>513</v>
      </c>
      <c r="J101" s="909" t="e">
        <f>'RT03-F33 &amp; '!H195</f>
        <v>#N/A</v>
      </c>
      <c r="K101" s="1924"/>
    </row>
    <row r="102" spans="1:12" s="898" customFormat="1" ht="24" customHeight="1" thickBot="1" x14ac:dyDescent="0.3">
      <c r="A102" s="1918"/>
      <c r="B102" s="1919"/>
      <c r="C102" s="1926">
        <f>'RT03-F33 &amp; '!M55</f>
        <v>0</v>
      </c>
      <c r="D102" s="1927"/>
      <c r="E102" s="977" t="s">
        <v>6</v>
      </c>
      <c r="F102" s="910" t="e">
        <f>'RT03-F33 &amp; '!B196</f>
        <v>#N/A</v>
      </c>
      <c r="G102" s="979" t="s">
        <v>6</v>
      </c>
      <c r="H102" s="911" t="e">
        <f>IF('RT03-F33 &amp; '!E196&lt;=('CMC &amp;'!K12),0.0013,'RT03-F33 &amp; '!E196)</f>
        <v>#N/A</v>
      </c>
      <c r="I102" s="979" t="s">
        <v>6</v>
      </c>
      <c r="J102" s="912" t="e">
        <f>'RT03-F33 &amp; '!H196</f>
        <v>#N/A</v>
      </c>
      <c r="K102" s="1924"/>
    </row>
    <row r="103" spans="1:12" ht="24" customHeight="1" thickBot="1" x14ac:dyDescent="0.3">
      <c r="A103" s="1920"/>
      <c r="B103" s="1921"/>
      <c r="C103" s="1934">
        <v>100</v>
      </c>
      <c r="D103" s="1935"/>
      <c r="E103" s="977" t="s">
        <v>209</v>
      </c>
      <c r="F103" s="913" t="e">
        <f>'RT03-F33 &amp; '!B197</f>
        <v>#N/A</v>
      </c>
      <c r="G103" s="977" t="s">
        <v>209</v>
      </c>
      <c r="H103" s="914" t="e">
        <f>IF('RT03-F33 &amp; '!E197&lt;=('CMC &amp;'!L12),0.026,'RT03-F33 &amp; '!E197)</f>
        <v>#N/A</v>
      </c>
      <c r="I103" s="979" t="s">
        <v>209</v>
      </c>
      <c r="J103" s="915" t="e">
        <f>'RT03-F33 &amp; '!H197</f>
        <v>#N/A</v>
      </c>
      <c r="K103" s="1925"/>
    </row>
    <row r="104" spans="1:12" ht="20.100000000000001" customHeight="1" x14ac:dyDescent="0.25">
      <c r="A104" s="916"/>
      <c r="B104" s="917"/>
      <c r="C104" s="918"/>
      <c r="D104" s="918"/>
      <c r="E104" s="919"/>
      <c r="F104" s="920"/>
      <c r="G104" s="919"/>
      <c r="H104" s="921"/>
      <c r="I104" s="921"/>
      <c r="J104" s="921"/>
      <c r="K104" s="921"/>
      <c r="L104" s="921"/>
    </row>
    <row r="105" spans="1:12" ht="15" customHeight="1" thickBot="1" x14ac:dyDescent="0.3">
      <c r="A105" s="922" t="s">
        <v>244</v>
      </c>
      <c r="B105" s="922"/>
      <c r="C105" s="922"/>
      <c r="D105" s="922"/>
      <c r="E105" s="922"/>
      <c r="F105" s="922"/>
      <c r="G105" s="922"/>
      <c r="H105" s="922"/>
      <c r="I105" s="922"/>
      <c r="J105" s="922"/>
      <c r="K105" s="922"/>
      <c r="L105" s="922"/>
    </row>
    <row r="106" spans="1:12" s="895" customFormat="1" ht="30" customHeight="1" thickBot="1" x14ac:dyDescent="0.25">
      <c r="A106" s="923" t="s">
        <v>19</v>
      </c>
      <c r="B106" s="924"/>
      <c r="C106" s="923" t="s">
        <v>20</v>
      </c>
      <c r="D106" s="924"/>
      <c r="E106" s="923"/>
      <c r="F106" s="1888" t="s">
        <v>243</v>
      </c>
      <c r="G106" s="1915"/>
      <c r="H106" s="902" t="s">
        <v>338</v>
      </c>
      <c r="I106" s="903"/>
      <c r="J106" s="904" t="s">
        <v>341</v>
      </c>
      <c r="K106" s="960" t="s">
        <v>490</v>
      </c>
    </row>
    <row r="107" spans="1:12" ht="24" customHeight="1" thickBot="1" x14ac:dyDescent="0.3">
      <c r="A107" s="1936" t="e">
        <f>A100</f>
        <v>#REF!</v>
      </c>
      <c r="B107" s="1937"/>
      <c r="C107" s="1922">
        <f>C100</f>
        <v>0</v>
      </c>
      <c r="D107" s="1922"/>
      <c r="E107" s="977" t="s">
        <v>2</v>
      </c>
      <c r="F107" s="905" t="e">
        <f>#REF!</f>
        <v>#REF!</v>
      </c>
      <c r="G107" s="983" t="s">
        <v>2</v>
      </c>
      <c r="H107" s="906" t="e">
        <f>IF(#REF!&lt;=('CMC &amp;'!I12),5,#REF!)</f>
        <v>#REF!</v>
      </c>
      <c r="I107" s="977" t="s">
        <v>2</v>
      </c>
      <c r="J107" s="925" t="e">
        <f>#REF!</f>
        <v>#REF!</v>
      </c>
      <c r="K107" s="1942" t="e">
        <f>IF(AND('Pc &amp;'!H11&gt;=97.5%,'Pc &amp;'!I11&lt;=2.5%),"SI","NO")</f>
        <v>#REF!</v>
      </c>
    </row>
    <row r="108" spans="1:12" ht="24" customHeight="1" thickBot="1" x14ac:dyDescent="0.3">
      <c r="A108" s="1938"/>
      <c r="B108" s="1939"/>
      <c r="C108" s="1922">
        <f>C101</f>
        <v>0</v>
      </c>
      <c r="D108" s="1922"/>
      <c r="E108" s="977" t="s">
        <v>513</v>
      </c>
      <c r="F108" s="907" t="e">
        <f>#REF!</f>
        <v>#REF!</v>
      </c>
      <c r="G108" s="983" t="s">
        <v>513</v>
      </c>
      <c r="H108" s="909" t="e">
        <f>IF(#REF!&lt;=('CMC &amp;'!J12),0.31,#REF!)</f>
        <v>#REF!</v>
      </c>
      <c r="I108" s="977" t="s">
        <v>513</v>
      </c>
      <c r="J108" s="926" t="e">
        <f>#REF!</f>
        <v>#REF!</v>
      </c>
      <c r="K108" s="1943"/>
    </row>
    <row r="109" spans="1:12" ht="24" customHeight="1" thickBot="1" x14ac:dyDescent="0.3">
      <c r="A109" s="1938"/>
      <c r="B109" s="1939"/>
      <c r="C109" s="981">
        <f>C102</f>
        <v>0</v>
      </c>
      <c r="D109" s="982"/>
      <c r="E109" s="977" t="s">
        <v>6</v>
      </c>
      <c r="F109" s="910" t="e">
        <f>#REF!</f>
        <v>#REF!</v>
      </c>
      <c r="G109" s="983" t="s">
        <v>6</v>
      </c>
      <c r="H109" s="912" t="e">
        <f>IF(#REF!&lt;=('CMC &amp;'!K12),0.0013,'RT03-F33 &amp; '!E196)</f>
        <v>#REF!</v>
      </c>
      <c r="I109" s="977" t="s">
        <v>6</v>
      </c>
      <c r="J109" s="927" t="e">
        <f>#REF!</f>
        <v>#REF!</v>
      </c>
      <c r="K109" s="1943"/>
    </row>
    <row r="110" spans="1:12" ht="24" customHeight="1" thickBot="1" x14ac:dyDescent="0.3">
      <c r="A110" s="1940"/>
      <c r="B110" s="1941"/>
      <c r="C110" s="1934">
        <v>100</v>
      </c>
      <c r="D110" s="1935"/>
      <c r="E110" s="977" t="s">
        <v>209</v>
      </c>
      <c r="F110" s="913" t="e">
        <f>#REF!</f>
        <v>#REF!</v>
      </c>
      <c r="G110" s="977" t="s">
        <v>209</v>
      </c>
      <c r="H110" s="914" t="e">
        <f>IF(#REF!&lt;=('CMC &amp;'!L12),0.026,#REF!)</f>
        <v>#REF!</v>
      </c>
      <c r="I110" s="979" t="s">
        <v>209</v>
      </c>
      <c r="J110" s="928" t="e">
        <f>#REF!</f>
        <v>#REF!</v>
      </c>
      <c r="K110" s="1944"/>
    </row>
    <row r="111" spans="1:12" ht="11.25" customHeight="1" x14ac:dyDescent="0.25"/>
    <row r="112" spans="1:12" ht="30.75" customHeight="1" x14ac:dyDescent="0.25">
      <c r="A112" s="1928" t="s">
        <v>344</v>
      </c>
      <c r="B112" s="1928"/>
      <c r="C112" s="1928"/>
      <c r="D112" s="1928"/>
      <c r="E112" s="1928"/>
      <c r="F112" s="1928"/>
      <c r="G112" s="1928"/>
      <c r="H112" s="1928"/>
      <c r="I112" s="1928"/>
      <c r="J112" s="1928"/>
      <c r="K112" s="1928"/>
    </row>
    <row r="113" spans="1:11" ht="8.25" customHeight="1" thickBot="1" x14ac:dyDescent="0.3">
      <c r="A113" s="929"/>
      <c r="B113" s="929"/>
      <c r="C113" s="929"/>
      <c r="D113" s="929"/>
      <c r="E113" s="929"/>
      <c r="F113" s="929"/>
      <c r="G113" s="929"/>
      <c r="H113" s="929"/>
      <c r="I113" s="929"/>
      <c r="J113" s="929"/>
      <c r="K113" s="929"/>
    </row>
    <row r="114" spans="1:11" ht="24.95" customHeight="1" thickBot="1" x14ac:dyDescent="0.3">
      <c r="A114" s="929"/>
      <c r="B114" s="929"/>
      <c r="C114" s="929"/>
      <c r="D114" s="898"/>
      <c r="E114" s="930" t="s">
        <v>339</v>
      </c>
      <c r="F114" s="931">
        <f>(C107*0.05%)</f>
        <v>0</v>
      </c>
      <c r="G114" s="930" t="s">
        <v>2</v>
      </c>
      <c r="H114" s="929"/>
      <c r="I114" s="932"/>
      <c r="J114" s="929"/>
      <c r="K114" s="929"/>
    </row>
    <row r="115" spans="1:11" ht="24.95" customHeight="1" x14ac:dyDescent="0.25">
      <c r="A115" s="929"/>
      <c r="B115" s="929"/>
      <c r="C115" s="929"/>
      <c r="D115" s="929"/>
      <c r="E115" s="929"/>
      <c r="F115" s="929"/>
      <c r="G115" s="929"/>
      <c r="H115" s="929"/>
      <c r="I115" s="933"/>
      <c r="J115" s="929"/>
      <c r="K115" s="929"/>
    </row>
    <row r="116" spans="1:11" ht="15.95" customHeight="1" x14ac:dyDescent="0.25">
      <c r="A116" s="929"/>
      <c r="B116" s="929"/>
      <c r="C116" s="929"/>
      <c r="D116" s="929"/>
      <c r="E116" s="929"/>
      <c r="F116" s="929"/>
      <c r="G116" s="929"/>
      <c r="H116" s="929"/>
      <c r="I116" s="932"/>
      <c r="J116" s="929"/>
      <c r="K116" s="929"/>
    </row>
    <row r="117" spans="1:11" ht="125.1" customHeight="1" x14ac:dyDescent="0.25">
      <c r="A117" s="929"/>
      <c r="B117" s="929"/>
      <c r="C117" s="929"/>
      <c r="D117" s="929"/>
      <c r="E117" s="929"/>
      <c r="F117" s="929"/>
      <c r="G117" s="929"/>
      <c r="H117" s="929"/>
      <c r="I117" s="932"/>
      <c r="J117" s="929"/>
      <c r="K117" s="929"/>
    </row>
    <row r="118" spans="1:11" ht="35.1" customHeight="1" x14ac:dyDescent="0.25">
      <c r="A118" s="929"/>
      <c r="B118" s="929"/>
      <c r="C118" s="929"/>
      <c r="D118" s="929"/>
      <c r="E118" s="929"/>
      <c r="F118" s="929"/>
      <c r="G118" s="929"/>
      <c r="H118" s="929"/>
      <c r="I118" s="932"/>
      <c r="J118" s="929"/>
      <c r="K118" s="929"/>
    </row>
    <row r="119" spans="1:11" ht="35.1" customHeight="1" thickBot="1" x14ac:dyDescent="0.3">
      <c r="A119" s="929"/>
      <c r="B119" s="929"/>
      <c r="C119" s="929"/>
      <c r="D119" s="929"/>
      <c r="E119" s="929"/>
      <c r="F119" s="929"/>
      <c r="G119" s="1952" t="s">
        <v>512</v>
      </c>
      <c r="H119" s="1952"/>
      <c r="I119" s="1952"/>
      <c r="J119" s="1929">
        <f>J3</f>
        <v>0</v>
      </c>
      <c r="K119" s="1930"/>
    </row>
    <row r="120" spans="1:11" ht="18" customHeight="1" thickBot="1" x14ac:dyDescent="0.3">
      <c r="A120" s="1931" t="s">
        <v>273</v>
      </c>
      <c r="B120" s="1931"/>
      <c r="C120" s="1931"/>
      <c r="D120" s="1931"/>
      <c r="E120" s="1931"/>
      <c r="F120" s="934" t="e">
        <f>IF((F107)," SI","NO")</f>
        <v>#REF!</v>
      </c>
      <c r="G120" s="855"/>
      <c r="H120" s="935"/>
    </row>
    <row r="121" spans="1:11" ht="7.5" customHeight="1" thickBot="1" x14ac:dyDescent="0.3">
      <c r="A121" s="936"/>
      <c r="B121" s="936"/>
      <c r="C121" s="936"/>
      <c r="D121" s="936"/>
      <c r="E121" s="936"/>
      <c r="F121" s="855"/>
      <c r="G121" s="855"/>
      <c r="H121" s="855"/>
      <c r="I121" s="937"/>
      <c r="J121" s="897"/>
    </row>
    <row r="122" spans="1:11" ht="15" customHeight="1" thickBot="1" x14ac:dyDescent="0.3">
      <c r="A122" s="1932" t="s">
        <v>167</v>
      </c>
      <c r="B122" s="1932"/>
      <c r="C122" s="1932"/>
      <c r="D122" s="1932"/>
      <c r="E122" s="1932"/>
      <c r="F122" s="938" t="s">
        <v>253</v>
      </c>
      <c r="G122" s="939"/>
      <c r="H122" s="940"/>
      <c r="I122" s="939"/>
      <c r="J122" s="862"/>
    </row>
    <row r="123" spans="1:11" ht="6" customHeight="1" x14ac:dyDescent="0.25">
      <c r="A123" s="941"/>
      <c r="B123" s="941"/>
      <c r="C123" s="941"/>
      <c r="D123" s="941"/>
      <c r="E123" s="941"/>
      <c r="F123" s="941"/>
      <c r="G123" s="941"/>
      <c r="H123" s="855"/>
      <c r="I123" s="855"/>
    </row>
    <row r="124" spans="1:11" ht="16.5" customHeight="1" x14ac:dyDescent="0.25">
      <c r="A124" s="1859" t="s">
        <v>331</v>
      </c>
      <c r="B124" s="1859"/>
      <c r="C124" s="1859"/>
      <c r="D124" s="1859"/>
      <c r="E124" s="1859"/>
      <c r="F124" s="1859"/>
      <c r="G124" s="1859"/>
      <c r="H124" s="1859"/>
      <c r="I124" s="1859"/>
      <c r="J124" s="852"/>
    </row>
    <row r="125" spans="1:11" ht="20.100000000000001" customHeight="1" thickBot="1" x14ac:dyDescent="0.3">
      <c r="A125" s="857"/>
      <c r="B125" s="857"/>
      <c r="C125" s="857"/>
      <c r="D125" s="857"/>
      <c r="E125" s="303"/>
      <c r="F125" s="1933" t="s">
        <v>4</v>
      </c>
      <c r="G125" s="1933"/>
      <c r="H125" s="855"/>
      <c r="I125" s="855"/>
      <c r="J125" s="855"/>
      <c r="K125" s="855"/>
    </row>
    <row r="126" spans="1:11" ht="16.5" customHeight="1" x14ac:dyDescent="0.25">
      <c r="A126" s="854"/>
      <c r="C126" s="942" t="e">
        <f>'VERIFICACIÓN DE LA ESCALA &amp;'!C56</f>
        <v>#N/A</v>
      </c>
      <c r="D126" s="943" t="s">
        <v>2</v>
      </c>
      <c r="E126" s="1946" t="s">
        <v>245</v>
      </c>
      <c r="F126" s="304" t="e">
        <f>'VERIFICACIÓN DE LA ESCALA &amp;'!F56</f>
        <v>#N/A</v>
      </c>
      <c r="G126" s="812" t="s">
        <v>2</v>
      </c>
      <c r="I126" s="855"/>
      <c r="J126" s="855"/>
      <c r="K126" s="855"/>
    </row>
    <row r="127" spans="1:11" ht="17.25" customHeight="1" x14ac:dyDescent="0.25">
      <c r="A127" s="857"/>
      <c r="C127" s="944" t="e">
        <f>'VERIFICACIÓN DE LA ESCALA &amp;'!C57</f>
        <v>#N/A</v>
      </c>
      <c r="D127" s="945" t="s">
        <v>511</v>
      </c>
      <c r="E127" s="1946"/>
      <c r="F127" s="305" t="e">
        <f>'VERIFICACIÓN DE LA ESCALA &amp;'!F57</f>
        <v>#N/A</v>
      </c>
      <c r="G127" s="812" t="s">
        <v>380</v>
      </c>
      <c r="I127" s="855"/>
      <c r="J127" s="855"/>
      <c r="K127" s="855"/>
    </row>
    <row r="128" spans="1:11" ht="15" customHeight="1" thickBot="1" x14ac:dyDescent="0.3">
      <c r="A128" s="857"/>
      <c r="C128" s="946" t="e">
        <f>'VERIFICACIÓN DE LA ESCALA &amp;'!C58</f>
        <v>#N/A</v>
      </c>
      <c r="D128" s="947" t="s">
        <v>209</v>
      </c>
      <c r="E128" s="1946"/>
      <c r="F128" s="306" t="e">
        <f>'VERIFICACIÓN DE LA ESCALA &amp;'!F58</f>
        <v>#N/A</v>
      </c>
      <c r="G128" s="812" t="s">
        <v>209</v>
      </c>
      <c r="I128" s="855"/>
      <c r="J128" s="855"/>
      <c r="K128" s="855"/>
    </row>
    <row r="129" spans="1:12" ht="24.95" customHeight="1" x14ac:dyDescent="0.25">
      <c r="A129" s="857"/>
      <c r="B129" s="855"/>
      <c r="C129" s="855"/>
      <c r="D129" s="855"/>
      <c r="E129" s="855"/>
      <c r="F129" s="855"/>
      <c r="G129" s="855"/>
      <c r="H129" s="844"/>
      <c r="I129" s="867"/>
      <c r="J129" s="867"/>
      <c r="K129" s="867"/>
    </row>
    <row r="130" spans="1:12" ht="12" customHeight="1" x14ac:dyDescent="0.25">
      <c r="A130" s="1947" t="s">
        <v>274</v>
      </c>
      <c r="B130" s="1947"/>
      <c r="C130" s="1947"/>
      <c r="D130" s="1947"/>
      <c r="E130" s="1947"/>
      <c r="F130" s="1947"/>
      <c r="G130" s="856"/>
      <c r="H130" s="855"/>
      <c r="I130" s="855"/>
      <c r="J130" s="855"/>
      <c r="K130" s="855"/>
    </row>
    <row r="131" spans="1:12" ht="12" customHeight="1" x14ac:dyDescent="0.25">
      <c r="A131" s="948"/>
      <c r="B131" s="948"/>
      <c r="C131" s="948"/>
      <c r="D131" s="948"/>
      <c r="E131" s="948"/>
      <c r="F131" s="948"/>
      <c r="G131" s="856"/>
      <c r="H131" s="855"/>
      <c r="I131" s="855"/>
      <c r="J131" s="855"/>
      <c r="K131" s="855"/>
    </row>
    <row r="132" spans="1:12" ht="32.1" customHeight="1" x14ac:dyDescent="0.25">
      <c r="A132" s="985" t="s">
        <v>415</v>
      </c>
      <c r="B132" s="1945" t="s">
        <v>416</v>
      </c>
      <c r="C132" s="1945"/>
      <c r="D132" s="1945"/>
      <c r="E132" s="1945"/>
      <c r="F132" s="1945"/>
      <c r="G132" s="1945"/>
      <c r="H132" s="1945"/>
      <c r="I132" s="1945"/>
      <c r="J132" s="1945"/>
      <c r="K132" s="1945"/>
    </row>
    <row r="133" spans="1:12" ht="32.1" customHeight="1" x14ac:dyDescent="0.25">
      <c r="A133" s="985" t="s">
        <v>415</v>
      </c>
      <c r="B133" s="1945" t="s">
        <v>417</v>
      </c>
      <c r="C133" s="1945"/>
      <c r="D133" s="1945"/>
      <c r="E133" s="1945"/>
      <c r="F133" s="1945"/>
      <c r="G133" s="1945"/>
      <c r="H133" s="1945"/>
      <c r="I133" s="1945"/>
      <c r="J133" s="1945"/>
      <c r="K133" s="1945"/>
    </row>
    <row r="134" spans="1:12" ht="32.1" customHeight="1" x14ac:dyDescent="0.25">
      <c r="A134" s="985" t="s">
        <v>415</v>
      </c>
      <c r="B134" s="1945" t="s">
        <v>418</v>
      </c>
      <c r="C134" s="1945"/>
      <c r="D134" s="1945"/>
      <c r="E134" s="1945"/>
      <c r="F134" s="1945"/>
      <c r="G134" s="1945"/>
      <c r="H134" s="1945"/>
      <c r="I134" s="1945"/>
      <c r="J134" s="1945"/>
      <c r="K134" s="1945"/>
    </row>
    <row r="135" spans="1:12" s="949" customFormat="1" ht="23.1" customHeight="1" x14ac:dyDescent="0.25">
      <c r="A135" s="985" t="s">
        <v>415</v>
      </c>
      <c r="B135" s="1945" t="s">
        <v>419</v>
      </c>
      <c r="C135" s="1945"/>
      <c r="D135" s="1945"/>
      <c r="E135" s="1945"/>
      <c r="F135" s="1945"/>
      <c r="G135" s="1945"/>
      <c r="H135" s="1945"/>
      <c r="I135" s="1945"/>
      <c r="J135" s="1945"/>
      <c r="K135" s="1945"/>
    </row>
    <row r="136" spans="1:12" s="949" customFormat="1" ht="23.1" customHeight="1" x14ac:dyDescent="0.25">
      <c r="A136" s="985" t="s">
        <v>415</v>
      </c>
      <c r="B136" s="1945" t="s">
        <v>420</v>
      </c>
      <c r="C136" s="1945"/>
      <c r="D136" s="1945"/>
      <c r="E136" s="1945"/>
      <c r="F136" s="1945"/>
      <c r="G136" s="1945"/>
      <c r="H136" s="1945"/>
      <c r="I136" s="1945"/>
      <c r="J136" s="1945"/>
      <c r="K136" s="1945"/>
    </row>
    <row r="137" spans="1:12" s="949" customFormat="1" ht="23.1" customHeight="1" x14ac:dyDescent="0.25">
      <c r="A137" s="985" t="s">
        <v>415</v>
      </c>
      <c r="B137" s="1945" t="s">
        <v>421</v>
      </c>
      <c r="C137" s="1945"/>
      <c r="D137" s="1945"/>
      <c r="E137" s="1945"/>
      <c r="F137" s="1945"/>
      <c r="G137" s="1945"/>
      <c r="H137" s="1945"/>
      <c r="I137" s="1945"/>
      <c r="J137" s="1945"/>
      <c r="K137" s="1945"/>
    </row>
    <row r="138" spans="1:12" ht="23.1" customHeight="1" x14ac:dyDescent="0.25">
      <c r="A138" s="985" t="s">
        <v>415</v>
      </c>
      <c r="B138" s="1945" t="s">
        <v>422</v>
      </c>
      <c r="C138" s="1945"/>
      <c r="D138" s="1945"/>
      <c r="E138" s="1945"/>
      <c r="F138" s="1945"/>
      <c r="G138" s="1945"/>
      <c r="H138" s="1945"/>
      <c r="I138" s="1945"/>
      <c r="J138" s="1945"/>
      <c r="K138" s="1945"/>
    </row>
    <row r="139" spans="1:12" s="949" customFormat="1" ht="23.1" customHeight="1" x14ac:dyDescent="0.25">
      <c r="A139" s="985" t="s">
        <v>415</v>
      </c>
      <c r="B139" s="1945" t="s">
        <v>423</v>
      </c>
      <c r="C139" s="1945"/>
      <c r="D139" s="1945"/>
      <c r="E139" s="1945"/>
      <c r="F139" s="1945"/>
      <c r="G139" s="1945"/>
      <c r="H139" s="1945"/>
      <c r="I139" s="1945"/>
      <c r="J139" s="1945"/>
      <c r="K139" s="1945"/>
      <c r="L139" s="950"/>
    </row>
    <row r="140" spans="1:12" s="949" customFormat="1" ht="23.1" customHeight="1" x14ac:dyDescent="0.25">
      <c r="A140" s="985" t="s">
        <v>424</v>
      </c>
      <c r="B140" s="1945" t="s">
        <v>425</v>
      </c>
      <c r="C140" s="1945"/>
      <c r="D140" s="1945"/>
      <c r="E140" s="1945"/>
      <c r="F140" s="1945"/>
      <c r="G140" s="1945"/>
      <c r="H140" s="1945"/>
      <c r="I140" s="1945"/>
      <c r="J140" s="1945"/>
      <c r="K140" s="1945"/>
      <c r="L140" s="950"/>
    </row>
    <row r="141" spans="1:12" ht="23.1" customHeight="1" x14ac:dyDescent="0.25">
      <c r="A141" s="985" t="s">
        <v>424</v>
      </c>
      <c r="B141" s="1945" t="s">
        <v>498</v>
      </c>
      <c r="C141" s="1945"/>
      <c r="D141" s="1945"/>
      <c r="E141" s="1945"/>
      <c r="F141" s="1945"/>
      <c r="G141" s="1945"/>
      <c r="H141" s="1945"/>
      <c r="I141" s="1945"/>
      <c r="J141" s="1945"/>
      <c r="K141" s="1945"/>
      <c r="L141" s="951"/>
    </row>
    <row r="142" spans="1:12" ht="32.1" customHeight="1" x14ac:dyDescent="0.25">
      <c r="A142" s="986" t="s">
        <v>415</v>
      </c>
      <c r="B142" s="1945" t="s">
        <v>426</v>
      </c>
      <c r="C142" s="1945"/>
      <c r="D142" s="1945"/>
      <c r="E142" s="1945"/>
      <c r="F142" s="1945"/>
      <c r="G142" s="1945"/>
      <c r="H142" s="1945"/>
      <c r="I142" s="1945"/>
      <c r="J142" s="1945"/>
      <c r="K142" s="1945"/>
      <c r="L142" s="953"/>
    </row>
    <row r="143" spans="1:12" ht="32.1" customHeight="1" x14ac:dyDescent="0.25">
      <c r="A143" s="985" t="s">
        <v>415</v>
      </c>
      <c r="B143" s="1945" t="s">
        <v>427</v>
      </c>
      <c r="C143" s="1945"/>
      <c r="D143" s="1945"/>
      <c r="E143" s="1945"/>
      <c r="F143" s="1945"/>
      <c r="G143" s="1945"/>
      <c r="H143" s="1945"/>
      <c r="I143" s="1945"/>
      <c r="J143" s="1945"/>
      <c r="K143" s="1945"/>
    </row>
    <row r="144" spans="1:12" ht="23.1" customHeight="1" x14ac:dyDescent="0.25">
      <c r="A144" s="985" t="s">
        <v>415</v>
      </c>
      <c r="B144" s="1945" t="s">
        <v>428</v>
      </c>
      <c r="C144" s="1945"/>
      <c r="D144" s="1945"/>
      <c r="E144" s="1945"/>
      <c r="F144" s="1945"/>
      <c r="G144" s="1945"/>
      <c r="H144" s="1945"/>
      <c r="I144" s="1945"/>
      <c r="J144" s="1945"/>
      <c r="K144" s="1945"/>
    </row>
    <row r="145" spans="1:11" ht="23.1" customHeight="1" x14ac:dyDescent="0.25">
      <c r="A145" s="985" t="s">
        <v>415</v>
      </c>
      <c r="B145" s="1945" t="s">
        <v>429</v>
      </c>
      <c r="C145" s="1945"/>
      <c r="D145" s="1945"/>
      <c r="E145" s="1945"/>
      <c r="F145" s="1945"/>
      <c r="G145" s="1945"/>
      <c r="H145" s="1945"/>
      <c r="I145" s="1945"/>
      <c r="J145" s="1945"/>
      <c r="K145" s="1945"/>
    </row>
    <row r="146" spans="1:11" ht="23.1" customHeight="1" x14ac:dyDescent="0.25">
      <c r="A146" s="985" t="s">
        <v>415</v>
      </c>
      <c r="B146" s="1945" t="s">
        <v>497</v>
      </c>
      <c r="C146" s="1945"/>
      <c r="D146" s="1945"/>
      <c r="E146" s="1945"/>
      <c r="F146" s="1945"/>
      <c r="G146" s="1945"/>
      <c r="H146" s="1945"/>
      <c r="I146" s="1945"/>
      <c r="J146" s="1945"/>
      <c r="K146" s="1945"/>
    </row>
    <row r="147" spans="1:11" ht="23.1" customHeight="1" x14ac:dyDescent="0.25">
      <c r="A147" s="985" t="s">
        <v>415</v>
      </c>
      <c r="B147" s="1945" t="s">
        <v>430</v>
      </c>
      <c r="C147" s="1945"/>
      <c r="D147" s="1945"/>
      <c r="E147" s="1945"/>
      <c r="F147" s="1945"/>
      <c r="G147" s="1945"/>
      <c r="H147" s="1945"/>
      <c r="I147" s="1945"/>
      <c r="J147" s="1945"/>
      <c r="K147" s="1945"/>
    </row>
    <row r="148" spans="1:11" ht="23.1" customHeight="1" x14ac:dyDescent="0.25">
      <c r="A148" s="985" t="s">
        <v>415</v>
      </c>
      <c r="B148" s="1945" t="s">
        <v>496</v>
      </c>
      <c r="C148" s="1945"/>
      <c r="D148" s="1945"/>
      <c r="E148" s="1945"/>
      <c r="F148" s="1945"/>
      <c r="G148" s="1945"/>
      <c r="H148" s="1945"/>
      <c r="I148" s="1945"/>
      <c r="J148" s="1945"/>
      <c r="K148" s="1945"/>
    </row>
    <row r="149" spans="1:11" ht="23.1" customHeight="1" x14ac:dyDescent="0.25">
      <c r="A149" s="985" t="s">
        <v>424</v>
      </c>
      <c r="B149" s="1945" t="s">
        <v>495</v>
      </c>
      <c r="C149" s="1945"/>
      <c r="D149" s="1945"/>
      <c r="E149" s="1945"/>
      <c r="F149" s="1945"/>
      <c r="G149" s="1945"/>
      <c r="H149" s="1945"/>
      <c r="I149" s="1945"/>
      <c r="J149" s="1945"/>
      <c r="K149" s="1945"/>
    </row>
    <row r="150" spans="1:11" ht="32.1" customHeight="1" x14ac:dyDescent="0.25">
      <c r="A150" s="985" t="s">
        <v>415</v>
      </c>
      <c r="B150" s="1957" t="s">
        <v>494</v>
      </c>
      <c r="C150" s="1957"/>
      <c r="D150" s="1957"/>
      <c r="E150" s="1957"/>
      <c r="F150" s="1957"/>
      <c r="G150" s="1957"/>
      <c r="H150" s="1957"/>
      <c r="I150" s="1957"/>
      <c r="J150" s="1957"/>
      <c r="K150" s="1957"/>
    </row>
    <row r="151" spans="1:11" ht="15" customHeight="1" x14ac:dyDescent="0.25">
      <c r="E151" s="855"/>
      <c r="F151" s="855"/>
      <c r="G151" s="855"/>
      <c r="H151" s="855"/>
      <c r="I151" s="855"/>
      <c r="J151" s="855"/>
      <c r="K151" s="855"/>
    </row>
    <row r="152" spans="1:11" ht="15" customHeight="1" x14ac:dyDescent="0.25">
      <c r="A152" s="1956" t="s">
        <v>21</v>
      </c>
      <c r="B152" s="1956"/>
      <c r="C152" s="1956"/>
      <c r="D152" s="1956"/>
      <c r="E152" s="855"/>
      <c r="F152" s="855"/>
      <c r="G152" s="855"/>
      <c r="H152" s="855"/>
      <c r="I152" s="855"/>
      <c r="J152" s="855"/>
      <c r="K152" s="855"/>
    </row>
    <row r="153" spans="1:11" ht="15" customHeight="1" x14ac:dyDescent="0.25">
      <c r="A153" s="952"/>
      <c r="B153" s="952"/>
      <c r="C153" s="952"/>
      <c r="D153" s="952"/>
      <c r="E153" s="855"/>
      <c r="F153" s="855"/>
      <c r="G153" s="855"/>
      <c r="H153" s="855"/>
      <c r="I153" s="855"/>
      <c r="J153" s="855"/>
      <c r="K153" s="855"/>
    </row>
    <row r="154" spans="1:11" ht="15" customHeight="1" x14ac:dyDescent="0.25">
      <c r="A154" s="855"/>
      <c r="B154" s="855"/>
      <c r="C154" s="855"/>
      <c r="D154" s="855"/>
      <c r="E154" s="855"/>
      <c r="F154" s="855"/>
      <c r="G154" s="855"/>
      <c r="H154" s="855"/>
      <c r="I154" s="855"/>
      <c r="J154" s="855"/>
      <c r="K154" s="855"/>
    </row>
    <row r="155" spans="1:11" ht="15" customHeight="1" x14ac:dyDescent="0.25">
      <c r="A155" s="855"/>
      <c r="B155" s="855"/>
      <c r="C155" s="855"/>
      <c r="D155" s="855"/>
      <c r="E155" s="855"/>
      <c r="F155" s="855"/>
      <c r="G155" s="855"/>
      <c r="H155" s="855"/>
      <c r="I155" s="855"/>
      <c r="J155" s="855"/>
      <c r="K155" s="855"/>
    </row>
    <row r="156" spans="1:11" ht="15" customHeight="1" x14ac:dyDescent="0.25">
      <c r="A156" s="954"/>
      <c r="B156" s="1958"/>
      <c r="C156" s="1958"/>
      <c r="D156" s="1958"/>
      <c r="E156" s="1958"/>
      <c r="F156" s="1958"/>
      <c r="G156" s="861"/>
      <c r="H156" s="1958"/>
      <c r="I156" s="1958"/>
      <c r="J156" s="1958"/>
      <c r="K156" s="954"/>
    </row>
    <row r="157" spans="1:11" ht="15" customHeight="1" x14ac:dyDescent="0.25">
      <c r="A157" s="855"/>
      <c r="B157" s="1953" t="s">
        <v>22</v>
      </c>
      <c r="C157" s="1953"/>
      <c r="D157" s="1953"/>
      <c r="E157" s="1953"/>
      <c r="F157" s="1953"/>
      <c r="G157" s="861" t="s">
        <v>413</v>
      </c>
      <c r="H157" s="1953" t="s">
        <v>414</v>
      </c>
      <c r="I157" s="1953"/>
      <c r="J157" s="1953"/>
      <c r="K157" s="855"/>
    </row>
    <row r="158" spans="1:11" ht="21" customHeight="1" x14ac:dyDescent="0.25">
      <c r="B158" s="1954" t="e">
        <f>VLOOKUP(A156,'DATOS &amp;'!P9:S13,4,FALSE)</f>
        <v>#N/A</v>
      </c>
      <c r="C158" s="1954"/>
      <c r="D158" s="1954"/>
      <c r="E158" s="1954"/>
      <c r="F158" s="1954"/>
      <c r="G158" s="955"/>
      <c r="H158" s="1955" t="e">
        <f>VLOOKUP(K156,'DATOS &amp;'!P9:U13,6,FALSE)</f>
        <v>#N/A</v>
      </c>
      <c r="I158" s="1955"/>
      <c r="J158" s="1955"/>
      <c r="K158" s="955"/>
    </row>
    <row r="159" spans="1:11" ht="15" customHeight="1" x14ac:dyDescent="0.25">
      <c r="A159" s="855"/>
      <c r="B159" s="1956" t="e">
        <f>VLOOKUP(A156,'DATOS &amp;'!P9:S13,2,FALSE)</f>
        <v>#N/A</v>
      </c>
      <c r="C159" s="1956"/>
      <c r="D159" s="1956"/>
      <c r="E159" s="1956"/>
      <c r="F159" s="1956"/>
      <c r="G159" s="845"/>
      <c r="H159" s="1956" t="e">
        <f>VLOOKUP(K156,'DATOS &amp;'!P9:U13,2,FALSE)</f>
        <v>#N/A</v>
      </c>
      <c r="I159" s="1956"/>
      <c r="J159" s="1956"/>
      <c r="K159" s="845"/>
    </row>
    <row r="160" spans="1:11" ht="15" customHeight="1" x14ac:dyDescent="0.25">
      <c r="D160" s="855"/>
      <c r="E160" s="855"/>
      <c r="F160" s="855"/>
      <c r="G160" s="855"/>
      <c r="H160" s="855"/>
      <c r="I160" s="855"/>
      <c r="J160" s="855"/>
      <c r="K160" s="855"/>
    </row>
    <row r="161" spans="1:11" ht="15" customHeight="1" x14ac:dyDescent="0.25">
      <c r="A161" s="855"/>
      <c r="B161" s="1948" t="s">
        <v>342</v>
      </c>
      <c r="C161" s="1948"/>
      <c r="D161" s="1948"/>
      <c r="E161" s="1949" t="s">
        <v>343</v>
      </c>
      <c r="F161" s="1949"/>
      <c r="H161" s="956"/>
      <c r="I161" s="1950" t="s">
        <v>412</v>
      </c>
      <c r="J161" s="1950"/>
      <c r="K161" s="967" t="s">
        <v>343</v>
      </c>
    </row>
    <row r="162" spans="1:11" ht="15" customHeight="1" x14ac:dyDescent="0.25">
      <c r="A162" s="855"/>
      <c r="J162" s="855"/>
      <c r="K162" s="855"/>
    </row>
    <row r="163" spans="1:11" ht="15.75" customHeight="1" x14ac:dyDescent="0.25">
      <c r="A163" s="1951" t="s">
        <v>168</v>
      </c>
      <c r="B163" s="1951"/>
      <c r="C163" s="1951"/>
      <c r="D163" s="1951"/>
      <c r="E163" s="1951"/>
      <c r="F163" s="1951"/>
      <c r="G163" s="1951"/>
      <c r="H163" s="1951"/>
      <c r="I163" s="1951"/>
      <c r="J163" s="1951"/>
      <c r="K163" s="1951"/>
    </row>
  </sheetData>
  <sheetProtection password="CF5C" sheet="1" objects="1" scenarios="1"/>
  <mergeCells count="160">
    <mergeCell ref="B161:D161"/>
    <mergeCell ref="E161:F161"/>
    <mergeCell ref="I161:J161"/>
    <mergeCell ref="A163:K163"/>
    <mergeCell ref="G3:I3"/>
    <mergeCell ref="G38:I38"/>
    <mergeCell ref="G80:I80"/>
    <mergeCell ref="G119:I119"/>
    <mergeCell ref="B157:F157"/>
    <mergeCell ref="H157:J157"/>
    <mergeCell ref="B158:F158"/>
    <mergeCell ref="H158:J158"/>
    <mergeCell ref="B159:F159"/>
    <mergeCell ref="H159:J159"/>
    <mergeCell ref="B148:K148"/>
    <mergeCell ref="B149:K149"/>
    <mergeCell ref="B150:K150"/>
    <mergeCell ref="A152:D152"/>
    <mergeCell ref="B156:F156"/>
    <mergeCell ref="H156:J156"/>
    <mergeCell ref="B142:K142"/>
    <mergeCell ref="B143:K143"/>
    <mergeCell ref="B144:K144"/>
    <mergeCell ref="B145:K145"/>
    <mergeCell ref="B146:K146"/>
    <mergeCell ref="B147:K147"/>
    <mergeCell ref="B136:K136"/>
    <mergeCell ref="B137:K137"/>
    <mergeCell ref="B138:K138"/>
    <mergeCell ref="B139:K139"/>
    <mergeCell ref="B140:K140"/>
    <mergeCell ref="B141:K141"/>
    <mergeCell ref="E126:E128"/>
    <mergeCell ref="A130:F130"/>
    <mergeCell ref="B132:K132"/>
    <mergeCell ref="B133:K133"/>
    <mergeCell ref="B134:K134"/>
    <mergeCell ref="B135:K135"/>
    <mergeCell ref="A112:K112"/>
    <mergeCell ref="J119:K119"/>
    <mergeCell ref="A120:E120"/>
    <mergeCell ref="A122:E122"/>
    <mergeCell ref="A124:I124"/>
    <mergeCell ref="F125:G125"/>
    <mergeCell ref="C103:D103"/>
    <mergeCell ref="F106:G106"/>
    <mergeCell ref="A107:B110"/>
    <mergeCell ref="C107:D107"/>
    <mergeCell ref="K107:K110"/>
    <mergeCell ref="C108:D108"/>
    <mergeCell ref="C110:D110"/>
    <mergeCell ref="A96:K96"/>
    <mergeCell ref="A98:I98"/>
    <mergeCell ref="A99:B99"/>
    <mergeCell ref="C99:E99"/>
    <mergeCell ref="F99:G99"/>
    <mergeCell ref="A100:B103"/>
    <mergeCell ref="C100:D100"/>
    <mergeCell ref="K100:K103"/>
    <mergeCell ref="C101:D101"/>
    <mergeCell ref="C102:D102"/>
    <mergeCell ref="A93:C93"/>
    <mergeCell ref="E93:F93"/>
    <mergeCell ref="G93:H93"/>
    <mergeCell ref="I93:J93"/>
    <mergeCell ref="A94:C94"/>
    <mergeCell ref="E94:F94"/>
    <mergeCell ref="G94:H94"/>
    <mergeCell ref="I94:J94"/>
    <mergeCell ref="A91:C91"/>
    <mergeCell ref="E91:F91"/>
    <mergeCell ref="G91:H91"/>
    <mergeCell ref="I91:J91"/>
    <mergeCell ref="A92:C92"/>
    <mergeCell ref="E92:F92"/>
    <mergeCell ref="G92:H92"/>
    <mergeCell ref="I92:J92"/>
    <mergeCell ref="A86:E86"/>
    <mergeCell ref="A88:K88"/>
    <mergeCell ref="A90:C90"/>
    <mergeCell ref="E90:F90"/>
    <mergeCell ref="G90:H90"/>
    <mergeCell ref="I90:J90"/>
    <mergeCell ref="C76:E76"/>
    <mergeCell ref="F76:H76"/>
    <mergeCell ref="I76:J76"/>
    <mergeCell ref="J80:K80"/>
    <mergeCell ref="A81:E81"/>
    <mergeCell ref="A83:K84"/>
    <mergeCell ref="C65:J65"/>
    <mergeCell ref="C66:H66"/>
    <mergeCell ref="C68:H68"/>
    <mergeCell ref="A71:E71"/>
    <mergeCell ref="A73:K73"/>
    <mergeCell ref="C75:E75"/>
    <mergeCell ref="F75:H75"/>
    <mergeCell ref="I75:J75"/>
    <mergeCell ref="C59:J59"/>
    <mergeCell ref="C60:K60"/>
    <mergeCell ref="C61:J61"/>
    <mergeCell ref="C62:F62"/>
    <mergeCell ref="C63:J63"/>
    <mergeCell ref="C64:J64"/>
    <mergeCell ref="C52:K52"/>
    <mergeCell ref="C54:K54"/>
    <mergeCell ref="C55:J55"/>
    <mergeCell ref="C56:K56"/>
    <mergeCell ref="C57:J57"/>
    <mergeCell ref="C58:K58"/>
    <mergeCell ref="A33:K34"/>
    <mergeCell ref="J38:K38"/>
    <mergeCell ref="A43:B43"/>
    <mergeCell ref="C45:K45"/>
    <mergeCell ref="C47:K48"/>
    <mergeCell ref="C50:K50"/>
    <mergeCell ref="A25:K25"/>
    <mergeCell ref="A27:K27"/>
    <mergeCell ref="A28:K28"/>
    <mergeCell ref="A29:D29"/>
    <mergeCell ref="E29:F29"/>
    <mergeCell ref="A31:H31"/>
    <mergeCell ref="A22:D22"/>
    <mergeCell ref="A23:D23"/>
    <mergeCell ref="E23:H23"/>
    <mergeCell ref="S23:U23"/>
    <mergeCell ref="W23:Y23"/>
    <mergeCell ref="A24:D24"/>
    <mergeCell ref="E24:H24"/>
    <mergeCell ref="A19:D19"/>
    <mergeCell ref="E19:H19"/>
    <mergeCell ref="A20:D20"/>
    <mergeCell ref="E20:H20"/>
    <mergeCell ref="A21:D21"/>
    <mergeCell ref="S21:W21"/>
    <mergeCell ref="A16:D16"/>
    <mergeCell ref="E16:H16"/>
    <mergeCell ref="A17:D17"/>
    <mergeCell ref="E17:H17"/>
    <mergeCell ref="A18:D18"/>
    <mergeCell ref="E18:H18"/>
    <mergeCell ref="A11:B11"/>
    <mergeCell ref="D11:F11"/>
    <mergeCell ref="A12:J12"/>
    <mergeCell ref="A14:D14"/>
    <mergeCell ref="E14:H14"/>
    <mergeCell ref="A15:D15"/>
    <mergeCell ref="E15:H15"/>
    <mergeCell ref="A8:B8"/>
    <mergeCell ref="D8:K8"/>
    <mergeCell ref="A10:D10"/>
    <mergeCell ref="E10:F10"/>
    <mergeCell ref="H10:I10"/>
    <mergeCell ref="J10:K10"/>
    <mergeCell ref="A1:K1"/>
    <mergeCell ref="J3:K3"/>
    <mergeCell ref="A4:D4"/>
    <mergeCell ref="A6:B6"/>
    <mergeCell ref="D6:K6"/>
    <mergeCell ref="A7:B7"/>
    <mergeCell ref="D7:K7"/>
  </mergeCells>
  <printOptions horizontalCentered="1"/>
  <pageMargins left="0.23622047244094491" right="0.23622047244094491" top="0.74803149606299213" bottom="0.74803149606299213" header="0.31496062992125984" footer="0.31496062992125984"/>
  <pageSetup scale="67" orientation="portrait" r:id="rId1"/>
  <headerFooter>
    <oddHeader>&amp;C
&amp;"-,Negrita"MODIFICACIÓN AL CERTIFICADO  DE CALIBRACIÓN DE RECIPIENTES VOLUMÉTRICOS</oddHeader>
    <oddFooter xml:space="preserve">&amp;RRT03-F38 Vr.7 (2021-01-22)
&amp;P de 4 </oddFooter>
  </headerFooter>
  <rowBreaks count="3" manualBreakCount="3">
    <brk id="35" max="10" man="1"/>
    <brk id="77" max="10" man="1"/>
    <brk id="116" max="10" man="1"/>
  </rowBreaks>
  <colBreaks count="1" manualBreakCount="1">
    <brk id="11"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3F611F4B-6B83-4995-AFC0-E1779CEDD403}">
            <xm:f>NOT(ISERROR(SEARCH($F$107,F120)))</xm:f>
            <xm:f>$F$107</xm:f>
            <x14:dxf>
              <font>
                <b/>
                <i val="0"/>
              </font>
            </x14:dxf>
          </x14:cfRule>
          <x14:cfRule type="containsText" priority="2" stopIfTrue="1" operator="containsText" id="{8FAF00F3-BB3F-4161-A7FA-8F50B69A01ED}">
            <xm:f>NOT(ISERROR(SEARCH($F$107,F120)))</xm:f>
            <xm:f>$F$107</xm:f>
            <x14:dxf>
              <font>
                <b/>
                <i val="0"/>
                <color auto="1"/>
              </font>
              <fill>
                <patternFill>
                  <bgColor rgb="FFFFC7CE"/>
                </patternFill>
              </fill>
            </x14:dxf>
          </x14:cfRule>
          <xm:sqref>F120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0000000}">
          <x14:formula1>
            <xm:f>'DATOS &amp;'!$Q$26:$Q$28</xm:f>
          </x14:formula1>
          <xm:sqref>B76</xm:sqref>
        </x14:dataValidation>
        <x14:dataValidation type="list" allowBlank="1" showInputMessage="1" showErrorMessage="1" xr:uid="{00000000-0002-0000-0600-000001000000}">
          <x14:formula1>
            <xm:f>'DATOS &amp;'!$C$112:$C$117</xm:f>
          </x14:formula1>
          <xm:sqref>K94</xm:sqref>
        </x14:dataValidation>
        <x14:dataValidation type="list" allowBlank="1" showInputMessage="1" showErrorMessage="1" xr:uid="{00000000-0002-0000-0600-000002000000}">
          <x14:formula1>
            <xm:f>'DATOS &amp;'!$P$9:$P$13</xm:f>
          </x14:formula1>
          <xm:sqref>K156 A156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66CC"/>
  </sheetPr>
  <dimension ref="A1:Y163"/>
  <sheetViews>
    <sheetView showGridLines="0" view="pageBreakPreview" topLeftCell="A43" zoomScale="70" zoomScaleNormal="100" zoomScaleSheetLayoutView="70" workbookViewId="0">
      <selection activeCell="K156" sqref="K156"/>
    </sheetView>
  </sheetViews>
  <sheetFormatPr baseColWidth="10" defaultColWidth="11.42578125" defaultRowHeight="15.75" x14ac:dyDescent="0.25"/>
  <cols>
    <col min="1" max="1" width="5.7109375" style="842" customWidth="1"/>
    <col min="2" max="2" width="11.42578125" style="842" customWidth="1"/>
    <col min="3" max="3" width="7.85546875" style="842" customWidth="1"/>
    <col min="4" max="4" width="12.42578125" style="842" customWidth="1"/>
    <col min="5" max="5" width="11.5703125" style="842" customWidth="1"/>
    <col min="6" max="6" width="12.7109375" style="842" customWidth="1"/>
    <col min="7" max="7" width="12.28515625" style="842" customWidth="1"/>
    <col min="8" max="8" width="12.5703125" style="842" customWidth="1"/>
    <col min="9" max="9" width="18" style="842" customWidth="1"/>
    <col min="10" max="10" width="9.42578125" style="842" customWidth="1"/>
    <col min="11" max="11" width="15.7109375" style="842" customWidth="1"/>
    <col min="12" max="12" width="8.28515625" style="842" customWidth="1"/>
    <col min="13" max="13" width="10.140625" style="842" customWidth="1"/>
    <col min="14" max="14" width="8" style="842" customWidth="1"/>
    <col min="15" max="15" width="13.85546875" style="842" customWidth="1"/>
    <col min="16" max="16" width="0.5703125" style="842" customWidth="1"/>
    <col min="17" max="17" width="1.7109375" style="842" customWidth="1"/>
    <col min="18" max="16384" width="11.42578125" style="842"/>
  </cols>
  <sheetData>
    <row r="1" spans="1:11" ht="125.1" customHeight="1" x14ac:dyDescent="0.25">
      <c r="A1" s="1863"/>
      <c r="B1" s="1863"/>
      <c r="C1" s="1863"/>
      <c r="D1" s="1863"/>
      <c r="E1" s="1863"/>
      <c r="F1" s="1863"/>
      <c r="G1" s="1863"/>
      <c r="H1" s="1863"/>
      <c r="I1" s="1863"/>
      <c r="J1" s="1863"/>
      <c r="K1" s="1863"/>
    </row>
    <row r="2" spans="1:11" ht="35.1" customHeight="1" x14ac:dyDescent="0.25">
      <c r="A2" s="843"/>
      <c r="B2" s="843"/>
      <c r="C2" s="843"/>
      <c r="D2" s="843"/>
      <c r="E2" s="843"/>
      <c r="F2" s="843"/>
      <c r="G2" s="843"/>
      <c r="H2" s="843"/>
      <c r="I2" s="843"/>
      <c r="J2" s="843"/>
      <c r="K2" s="843"/>
    </row>
    <row r="3" spans="1:11" ht="35.1" customHeight="1" x14ac:dyDescent="0.25">
      <c r="A3" s="843"/>
      <c r="B3" s="843"/>
      <c r="C3" s="843"/>
      <c r="D3" s="843"/>
      <c r="E3" s="843"/>
      <c r="F3" s="843"/>
      <c r="G3" s="843"/>
      <c r="H3" s="844"/>
      <c r="I3" s="958" t="s">
        <v>225</v>
      </c>
      <c r="J3" s="1864">
        <f>'DATOS &amp;'!N15</f>
        <v>0</v>
      </c>
      <c r="K3" s="1864"/>
    </row>
    <row r="4" spans="1:11" ht="26.1" customHeight="1" x14ac:dyDescent="0.25">
      <c r="A4" s="1865" t="s">
        <v>32</v>
      </c>
      <c r="B4" s="1865"/>
      <c r="C4" s="1865"/>
      <c r="D4" s="1865"/>
      <c r="E4" s="846"/>
      <c r="F4" s="847"/>
    </row>
    <row r="5" spans="1:11" ht="18" customHeight="1" x14ac:dyDescent="0.25">
      <c r="A5" s="848"/>
      <c r="B5" s="848"/>
      <c r="C5" s="848"/>
      <c r="D5" s="847"/>
      <c r="E5" s="847"/>
      <c r="F5" s="847"/>
    </row>
    <row r="6" spans="1:11" ht="26.1" customHeight="1" x14ac:dyDescent="0.25">
      <c r="A6" s="1859" t="s">
        <v>323</v>
      </c>
      <c r="B6" s="1859"/>
      <c r="C6" s="849"/>
      <c r="D6" s="1858">
        <f>'DATOS &amp;'!K8</f>
        <v>0</v>
      </c>
      <c r="E6" s="1858"/>
      <c r="F6" s="1858"/>
      <c r="G6" s="1858"/>
      <c r="H6" s="1858"/>
      <c r="I6" s="1858"/>
      <c r="J6" s="1858"/>
      <c r="K6" s="1858"/>
    </row>
    <row r="7" spans="1:11" ht="26.1" customHeight="1" x14ac:dyDescent="0.25">
      <c r="A7" s="1857" t="s">
        <v>324</v>
      </c>
      <c r="B7" s="1857"/>
      <c r="C7" s="850"/>
      <c r="D7" s="1858">
        <f>'DATOS &amp;'!L8</f>
        <v>0</v>
      </c>
      <c r="E7" s="1858"/>
      <c r="F7" s="1858"/>
      <c r="G7" s="1858"/>
      <c r="H7" s="1858"/>
      <c r="I7" s="1858"/>
      <c r="J7" s="1858"/>
      <c r="K7" s="1858"/>
    </row>
    <row r="8" spans="1:11" ht="26.1" customHeight="1" x14ac:dyDescent="0.25">
      <c r="A8" s="1857" t="s">
        <v>346</v>
      </c>
      <c r="B8" s="1857"/>
      <c r="C8" s="850"/>
      <c r="D8" s="1858">
        <f>'DATOS &amp;'!M8</f>
        <v>0</v>
      </c>
      <c r="E8" s="1858"/>
      <c r="F8" s="1858"/>
      <c r="G8" s="1858"/>
      <c r="H8" s="1858"/>
      <c r="I8" s="1858"/>
      <c r="J8" s="1858"/>
      <c r="K8" s="1858"/>
    </row>
    <row r="9" spans="1:11" ht="26.1" customHeight="1" x14ac:dyDescent="0.25">
      <c r="A9" s="851"/>
      <c r="B9" s="851"/>
      <c r="C9" s="848"/>
      <c r="D9" s="847"/>
      <c r="E9" s="847"/>
      <c r="F9" s="847"/>
      <c r="G9" s="847"/>
    </row>
    <row r="10" spans="1:11" ht="26.1" customHeight="1" x14ac:dyDescent="0.25">
      <c r="A10" s="1859" t="s">
        <v>325</v>
      </c>
      <c r="B10" s="1859"/>
      <c r="C10" s="1859"/>
      <c r="D10" s="1859"/>
      <c r="E10" s="1860" t="e">
        <f>'RT03-F33 &amp; '!D3</f>
        <v>#N/A</v>
      </c>
      <c r="F10" s="1860"/>
      <c r="H10" s="1861" t="s">
        <v>326</v>
      </c>
      <c r="I10" s="1861"/>
      <c r="J10" s="1862">
        <f>'DATOS &amp;'!I8</f>
        <v>0</v>
      </c>
      <c r="K10" s="1862"/>
    </row>
    <row r="11" spans="1:11" ht="26.1" customHeight="1" x14ac:dyDescent="0.25">
      <c r="A11" s="1870"/>
      <c r="B11" s="1870"/>
      <c r="C11" s="852"/>
      <c r="D11" s="1870"/>
      <c r="E11" s="1870"/>
      <c r="F11" s="1870"/>
      <c r="I11" s="853"/>
      <c r="J11" s="853"/>
      <c r="K11" s="853"/>
    </row>
    <row r="12" spans="1:11" ht="26.1" customHeight="1" x14ac:dyDescent="0.25">
      <c r="A12" s="1865" t="s">
        <v>35</v>
      </c>
      <c r="B12" s="1865"/>
      <c r="C12" s="1865"/>
      <c r="D12" s="1865"/>
      <c r="E12" s="1865"/>
      <c r="F12" s="1865"/>
      <c r="G12" s="1865"/>
      <c r="H12" s="1865"/>
      <c r="I12" s="1865"/>
      <c r="J12" s="1865"/>
      <c r="K12" s="853"/>
    </row>
    <row r="13" spans="1:11" ht="18" customHeight="1" x14ac:dyDescent="0.25">
      <c r="A13" s="849"/>
      <c r="B13" s="849"/>
      <c r="C13" s="849"/>
      <c r="D13" s="849"/>
      <c r="E13" s="849"/>
      <c r="F13" s="854"/>
      <c r="G13" s="855"/>
      <c r="H13" s="855"/>
      <c r="I13" s="856"/>
      <c r="J13" s="856"/>
      <c r="K13" s="853"/>
    </row>
    <row r="14" spans="1:11" ht="26.1" customHeight="1" x14ac:dyDescent="0.25">
      <c r="A14" s="1859" t="s">
        <v>15</v>
      </c>
      <c r="B14" s="1859"/>
      <c r="C14" s="1859"/>
      <c r="D14" s="1859"/>
      <c r="E14" s="1869" t="s">
        <v>321</v>
      </c>
      <c r="F14" s="1869"/>
      <c r="G14" s="1869"/>
      <c r="H14" s="1869"/>
      <c r="I14" s="856"/>
      <c r="J14" s="856"/>
      <c r="K14" s="853"/>
    </row>
    <row r="15" spans="1:11" ht="26.1" customHeight="1" x14ac:dyDescent="0.25">
      <c r="A15" s="1859" t="s">
        <v>263</v>
      </c>
      <c r="B15" s="1859"/>
      <c r="C15" s="1859"/>
      <c r="D15" s="1859"/>
      <c r="E15" s="1866">
        <f>'DATOS &amp;'!C15</f>
        <v>0</v>
      </c>
      <c r="F15" s="1866"/>
      <c r="G15" s="1866"/>
      <c r="H15" s="1866"/>
      <c r="I15" s="857"/>
      <c r="J15" s="856"/>
      <c r="K15" s="853"/>
    </row>
    <row r="16" spans="1:11" ht="26.1" customHeight="1" x14ac:dyDescent="0.25">
      <c r="A16" s="1859" t="s">
        <v>262</v>
      </c>
      <c r="B16" s="1859"/>
      <c r="C16" s="1859"/>
      <c r="D16" s="1859"/>
      <c r="E16" s="1866">
        <f>'DATOS &amp;'!E15</f>
        <v>0</v>
      </c>
      <c r="F16" s="1866"/>
      <c r="G16" s="1866"/>
      <c r="H16" s="1866"/>
      <c r="I16" s="857"/>
      <c r="J16" s="856"/>
      <c r="K16" s="853"/>
    </row>
    <row r="17" spans="1:25" ht="26.1" customHeight="1" x14ac:dyDescent="0.25">
      <c r="A17" s="1867" t="s">
        <v>237</v>
      </c>
      <c r="B17" s="1867"/>
      <c r="C17" s="1867"/>
      <c r="D17" s="1867"/>
      <c r="E17" s="1868">
        <f>'DATOS &amp;'!D15</f>
        <v>0</v>
      </c>
      <c r="F17" s="1868"/>
      <c r="G17" s="1868"/>
      <c r="H17" s="1868"/>
      <c r="I17" s="857"/>
      <c r="J17" s="856"/>
      <c r="K17" s="853"/>
    </row>
    <row r="18" spans="1:25" ht="26.1" customHeight="1" x14ac:dyDescent="0.25">
      <c r="A18" s="1867" t="s">
        <v>24</v>
      </c>
      <c r="B18" s="1867"/>
      <c r="C18" s="1867"/>
      <c r="D18" s="1867"/>
      <c r="E18" s="1869" t="s">
        <v>307</v>
      </c>
      <c r="F18" s="1869"/>
      <c r="G18" s="1869"/>
      <c r="H18" s="1869"/>
      <c r="I18" s="857"/>
      <c r="J18" s="856"/>
      <c r="K18" s="853"/>
    </row>
    <row r="19" spans="1:25" ht="26.1" customHeight="1" x14ac:dyDescent="0.25">
      <c r="A19" s="1867" t="s">
        <v>264</v>
      </c>
      <c r="B19" s="1867"/>
      <c r="C19" s="1867"/>
      <c r="D19" s="1867"/>
      <c r="E19" s="1869" t="s">
        <v>251</v>
      </c>
      <c r="F19" s="1869"/>
      <c r="G19" s="1869"/>
      <c r="H19" s="1869"/>
      <c r="I19" s="857"/>
      <c r="J19" s="855"/>
    </row>
    <row r="20" spans="1:25" ht="26.1" customHeight="1" x14ac:dyDescent="0.25">
      <c r="A20" s="1867" t="s">
        <v>265</v>
      </c>
      <c r="B20" s="1867"/>
      <c r="C20" s="1867"/>
      <c r="D20" s="1867"/>
      <c r="E20" s="1869" t="s">
        <v>251</v>
      </c>
      <c r="F20" s="1869"/>
      <c r="G20" s="1869"/>
      <c r="H20" s="1869"/>
      <c r="I20" s="857"/>
      <c r="J20" s="855"/>
    </row>
    <row r="21" spans="1:25" ht="26.1" customHeight="1" x14ac:dyDescent="0.25">
      <c r="A21" s="1867" t="s">
        <v>261</v>
      </c>
      <c r="B21" s="1867"/>
      <c r="C21" s="1867"/>
      <c r="D21" s="1867"/>
      <c r="E21" s="968" t="str">
        <f>'DATOS &amp;'!G15</f>
        <v>5 gal</v>
      </c>
      <c r="F21" s="969"/>
      <c r="G21" s="969"/>
      <c r="H21" s="969"/>
      <c r="I21" s="857"/>
      <c r="J21" s="855"/>
      <c r="S21" s="1870"/>
      <c r="T21" s="1870"/>
      <c r="U21" s="1870"/>
      <c r="V21" s="1870"/>
      <c r="W21" s="1870"/>
    </row>
    <row r="22" spans="1:25" ht="26.1" customHeight="1" x14ac:dyDescent="0.25">
      <c r="A22" s="1867" t="s">
        <v>166</v>
      </c>
      <c r="B22" s="1867"/>
      <c r="C22" s="1867"/>
      <c r="D22" s="1867"/>
      <c r="E22" s="970">
        <f>'DATOS &amp;'!H15</f>
        <v>8.1935299999999991</v>
      </c>
      <c r="F22" s="971" t="s">
        <v>487</v>
      </c>
      <c r="G22" s="972"/>
      <c r="H22" s="972"/>
      <c r="I22" s="857"/>
      <c r="J22" s="855"/>
      <c r="M22" s="860"/>
      <c r="N22" s="860"/>
      <c r="O22" s="860"/>
      <c r="P22" s="860"/>
      <c r="Q22" s="860"/>
      <c r="R22" s="860"/>
      <c r="S22" s="860"/>
      <c r="T22" s="860"/>
      <c r="U22" s="860"/>
      <c r="V22" s="860"/>
    </row>
    <row r="23" spans="1:25" ht="26.1" customHeight="1" x14ac:dyDescent="0.25">
      <c r="A23" s="1867" t="s">
        <v>236</v>
      </c>
      <c r="B23" s="1867"/>
      <c r="C23" s="1867"/>
      <c r="D23" s="1867"/>
      <c r="E23" s="1869" t="s">
        <v>266</v>
      </c>
      <c r="F23" s="1869"/>
      <c r="G23" s="1869"/>
      <c r="H23" s="1869"/>
      <c r="I23" s="857"/>
      <c r="J23" s="861"/>
      <c r="S23" s="1871"/>
      <c r="T23" s="1872"/>
      <c r="U23" s="1872"/>
      <c r="W23" s="1870"/>
      <c r="X23" s="1870"/>
      <c r="Y23" s="1870"/>
    </row>
    <row r="24" spans="1:25" ht="26.1" customHeight="1" x14ac:dyDescent="0.25">
      <c r="A24" s="1870"/>
      <c r="B24" s="1870"/>
      <c r="C24" s="1870"/>
      <c r="D24" s="1870"/>
      <c r="E24" s="1873"/>
      <c r="F24" s="1873"/>
      <c r="G24" s="1873"/>
      <c r="H24" s="1873"/>
      <c r="I24" s="862"/>
    </row>
    <row r="25" spans="1:25" ht="23.1" customHeight="1" x14ac:dyDescent="0.25">
      <c r="A25" s="1865" t="s">
        <v>94</v>
      </c>
      <c r="B25" s="1865"/>
      <c r="C25" s="1865"/>
      <c r="D25" s="1865"/>
      <c r="E25" s="1865"/>
      <c r="F25" s="1865"/>
      <c r="G25" s="1865"/>
      <c r="H25" s="1865"/>
      <c r="I25" s="1865"/>
      <c r="J25" s="1865"/>
      <c r="K25" s="1865"/>
    </row>
    <row r="26" spans="1:25" ht="18" customHeight="1" x14ac:dyDescent="0.25">
      <c r="A26" s="855"/>
      <c r="B26" s="855"/>
      <c r="C26" s="855"/>
      <c r="D26" s="855"/>
      <c r="E26" s="855"/>
      <c r="F26" s="855"/>
      <c r="G26" s="855"/>
      <c r="H26" s="855"/>
      <c r="I26" s="855"/>
      <c r="J26" s="855"/>
      <c r="K26" s="855"/>
    </row>
    <row r="27" spans="1:25" ht="23.1" customHeight="1" x14ac:dyDescent="0.25">
      <c r="A27" s="1874">
        <f>'DATOS &amp;'!G8</f>
        <v>0</v>
      </c>
      <c r="B27" s="1874"/>
      <c r="C27" s="1874"/>
      <c r="D27" s="1874"/>
      <c r="E27" s="1874"/>
      <c r="F27" s="1874"/>
      <c r="G27" s="1874"/>
      <c r="H27" s="1874"/>
      <c r="I27" s="1874"/>
      <c r="J27" s="1874"/>
      <c r="K27" s="1874"/>
    </row>
    <row r="28" spans="1:25" ht="26.1" customHeight="1" x14ac:dyDescent="0.25">
      <c r="A28" s="1875"/>
      <c r="B28" s="1875"/>
      <c r="C28" s="1875"/>
      <c r="D28" s="1875"/>
      <c r="E28" s="1875"/>
      <c r="F28" s="1875"/>
      <c r="G28" s="1875"/>
      <c r="H28" s="1875"/>
      <c r="I28" s="1875"/>
      <c r="J28" s="1875"/>
      <c r="K28" s="1875"/>
    </row>
    <row r="29" spans="1:25" ht="23.1" customHeight="1" x14ac:dyDescent="0.25">
      <c r="A29" s="1865" t="s">
        <v>229</v>
      </c>
      <c r="B29" s="1865"/>
      <c r="C29" s="1865"/>
      <c r="D29" s="1865"/>
      <c r="E29" s="1874">
        <f>'DATOS &amp;'!J8</f>
        <v>0</v>
      </c>
      <c r="F29" s="1874"/>
      <c r="G29" s="859"/>
      <c r="H29" s="855"/>
      <c r="I29" s="855"/>
      <c r="J29" s="855"/>
      <c r="K29" s="855"/>
    </row>
    <row r="30" spans="1:25" ht="26.1" customHeight="1" x14ac:dyDescent="0.25">
      <c r="A30" s="855"/>
      <c r="B30" s="855"/>
      <c r="C30" s="855"/>
      <c r="D30" s="855"/>
      <c r="E30" s="855"/>
      <c r="F30" s="858"/>
      <c r="G30" s="858"/>
      <c r="H30" s="855"/>
      <c r="I30" s="855"/>
      <c r="J30" s="855"/>
      <c r="K30" s="855"/>
    </row>
    <row r="31" spans="1:25" ht="23.1" customHeight="1" x14ac:dyDescent="0.25">
      <c r="A31" s="1876" t="s">
        <v>267</v>
      </c>
      <c r="B31" s="1876"/>
      <c r="C31" s="1876"/>
      <c r="D31" s="1876"/>
      <c r="E31" s="1876"/>
      <c r="F31" s="1876"/>
      <c r="G31" s="1876"/>
      <c r="H31" s="1876"/>
      <c r="I31" s="863"/>
      <c r="J31" s="864"/>
      <c r="K31" s="855"/>
    </row>
    <row r="32" spans="1:25" ht="18" customHeight="1" x14ac:dyDescent="0.25">
      <c r="A32" s="857"/>
      <c r="B32" s="857"/>
      <c r="C32" s="857"/>
      <c r="D32" s="857"/>
      <c r="E32" s="857"/>
      <c r="F32" s="857"/>
      <c r="G32" s="857"/>
      <c r="H32" s="857"/>
      <c r="I32" s="857"/>
      <c r="J32" s="855"/>
      <c r="K32" s="855"/>
    </row>
    <row r="33" spans="1:11" ht="20.100000000000001" customHeight="1" x14ac:dyDescent="0.25">
      <c r="A33" s="1878" t="s">
        <v>431</v>
      </c>
      <c r="B33" s="1878"/>
      <c r="C33" s="1878"/>
      <c r="D33" s="1878"/>
      <c r="E33" s="1878"/>
      <c r="F33" s="1878"/>
      <c r="G33" s="1878"/>
      <c r="H33" s="1878"/>
      <c r="I33" s="1878"/>
      <c r="J33" s="1878"/>
      <c r="K33" s="1878"/>
    </row>
    <row r="34" spans="1:11" ht="20.100000000000001" customHeight="1" x14ac:dyDescent="0.25">
      <c r="A34" s="1878"/>
      <c r="B34" s="1878"/>
      <c r="C34" s="1878"/>
      <c r="D34" s="1878"/>
      <c r="E34" s="1878"/>
      <c r="F34" s="1878"/>
      <c r="G34" s="1878"/>
      <c r="H34" s="1878"/>
      <c r="I34" s="1878"/>
      <c r="J34" s="1878"/>
      <c r="K34" s="1878"/>
    </row>
    <row r="35" spans="1:11" ht="18" customHeight="1" x14ac:dyDescent="0.25">
      <c r="A35" s="865"/>
      <c r="B35" s="865"/>
      <c r="C35" s="865"/>
      <c r="D35" s="865"/>
      <c r="E35" s="865"/>
      <c r="F35" s="865"/>
      <c r="G35" s="865"/>
      <c r="H35" s="865"/>
      <c r="I35" s="865"/>
      <c r="J35" s="865"/>
      <c r="K35" s="865"/>
    </row>
    <row r="36" spans="1:11" ht="125.1" customHeight="1" x14ac:dyDescent="0.25">
      <c r="A36" s="865"/>
      <c r="B36" s="865"/>
      <c r="C36" s="865"/>
      <c r="D36" s="865"/>
      <c r="E36" s="865"/>
      <c r="F36" s="865"/>
      <c r="G36" s="865"/>
      <c r="H36" s="865"/>
      <c r="I36" s="865"/>
      <c r="J36" s="865"/>
      <c r="K36" s="865"/>
    </row>
    <row r="37" spans="1:11" ht="35.1" customHeight="1" x14ac:dyDescent="0.25">
      <c r="A37" s="865"/>
      <c r="B37" s="865"/>
      <c r="C37" s="865"/>
      <c r="D37" s="865"/>
      <c r="E37" s="865"/>
      <c r="F37" s="865"/>
      <c r="G37" s="865"/>
      <c r="H37" s="865"/>
      <c r="I37" s="865"/>
      <c r="J37" s="865"/>
      <c r="K37" s="865"/>
    </row>
    <row r="38" spans="1:11" ht="35.1" customHeight="1" x14ac:dyDescent="0.25">
      <c r="A38" s="866"/>
      <c r="B38" s="866"/>
      <c r="C38" s="866"/>
      <c r="D38" s="866"/>
      <c r="E38" s="866"/>
      <c r="F38" s="866"/>
      <c r="G38" s="866"/>
      <c r="H38" s="844"/>
      <c r="I38" s="957" t="s">
        <v>225</v>
      </c>
      <c r="J38" s="1864">
        <f>J3</f>
        <v>0</v>
      </c>
      <c r="K38" s="1864"/>
    </row>
    <row r="39" spans="1:11" ht="24.95" customHeight="1" x14ac:dyDescent="0.25">
      <c r="A39" s="866"/>
      <c r="B39" s="866"/>
      <c r="C39" s="866"/>
      <c r="D39" s="866"/>
      <c r="E39" s="866"/>
      <c r="F39" s="866"/>
      <c r="G39" s="866"/>
      <c r="H39" s="844"/>
      <c r="I39" s="868"/>
      <c r="J39" s="868"/>
      <c r="K39" s="843"/>
    </row>
    <row r="40" spans="1:11" ht="18" customHeight="1" x14ac:dyDescent="0.25">
      <c r="A40" s="866"/>
      <c r="B40" s="866"/>
      <c r="C40" s="866"/>
      <c r="D40" s="866"/>
      <c r="E40" s="866"/>
      <c r="F40" s="866"/>
      <c r="G40" s="866"/>
      <c r="H40" s="844"/>
      <c r="I40" s="868"/>
      <c r="J40" s="868"/>
      <c r="K40" s="843"/>
    </row>
    <row r="41" spans="1:11" ht="18" customHeight="1" x14ac:dyDescent="0.25">
      <c r="A41" s="866"/>
      <c r="B41" s="866"/>
      <c r="C41" s="866"/>
      <c r="D41" s="866"/>
      <c r="E41" s="866"/>
      <c r="F41" s="866"/>
      <c r="G41" s="866"/>
      <c r="H41" s="844"/>
      <c r="I41" s="868"/>
      <c r="J41" s="868"/>
      <c r="K41" s="843"/>
    </row>
    <row r="42" spans="1:11" ht="15.75" customHeight="1" x14ac:dyDescent="0.25">
      <c r="A42" s="866"/>
      <c r="B42" s="866"/>
      <c r="C42" s="866"/>
      <c r="D42" s="866"/>
      <c r="E42" s="866"/>
      <c r="F42" s="866"/>
      <c r="G42" s="866"/>
      <c r="H42" s="844"/>
      <c r="I42" s="868"/>
      <c r="J42" s="868"/>
      <c r="K42" s="843"/>
    </row>
    <row r="43" spans="1:11" s="871" customFormat="1" ht="23.1" customHeight="1" x14ac:dyDescent="0.2">
      <c r="A43" s="1879" t="s">
        <v>29</v>
      </c>
      <c r="B43" s="1879"/>
      <c r="C43" s="869"/>
      <c r="D43" s="869"/>
      <c r="E43" s="869"/>
      <c r="F43" s="869"/>
      <c r="G43" s="869"/>
      <c r="H43" s="869"/>
      <c r="I43" s="869"/>
      <c r="J43" s="870"/>
    </row>
    <row r="44" spans="1:11" s="871" customFormat="1" ht="24.95" customHeight="1" x14ac:dyDescent="0.2">
      <c r="A44" s="872"/>
      <c r="B44" s="869"/>
      <c r="C44" s="869"/>
      <c r="D44" s="869"/>
      <c r="E44" s="869"/>
      <c r="F44" s="869"/>
      <c r="G44" s="869"/>
      <c r="H44" s="869"/>
      <c r="I44" s="869"/>
      <c r="J44" s="870"/>
    </row>
    <row r="45" spans="1:11" s="871" customFormat="1" ht="24.95" customHeight="1" x14ac:dyDescent="0.2">
      <c r="A45" s="869"/>
      <c r="B45" s="873"/>
      <c r="C45" s="1880" t="s">
        <v>28</v>
      </c>
      <c r="D45" s="1880"/>
      <c r="E45" s="1880"/>
      <c r="F45" s="1880"/>
      <c r="G45" s="1880"/>
      <c r="H45" s="1880"/>
      <c r="I45" s="1880"/>
      <c r="J45" s="1880"/>
      <c r="K45" s="1880"/>
    </row>
    <row r="46" spans="1:11" s="871" customFormat="1" ht="12.95" customHeight="1" x14ac:dyDescent="0.2">
      <c r="A46" s="874"/>
      <c r="B46" s="874"/>
      <c r="C46" s="875"/>
      <c r="D46" s="875"/>
      <c r="E46" s="875"/>
      <c r="F46" s="875"/>
      <c r="G46" s="876"/>
      <c r="H46" s="877"/>
      <c r="I46" s="878"/>
      <c r="J46" s="878"/>
      <c r="K46" s="876"/>
    </row>
    <row r="47" spans="1:11" s="871" customFormat="1" ht="15.95" customHeight="1" x14ac:dyDescent="0.2">
      <c r="A47" s="869"/>
      <c r="B47" s="879"/>
      <c r="C47" s="1877" t="s">
        <v>226</v>
      </c>
      <c r="D47" s="1877"/>
      <c r="E47" s="1877"/>
      <c r="F47" s="1877"/>
      <c r="G47" s="1877"/>
      <c r="H47" s="1877"/>
      <c r="I47" s="1877"/>
      <c r="J47" s="1877"/>
      <c r="K47" s="1877"/>
    </row>
    <row r="48" spans="1:11" s="871" customFormat="1" ht="15.95" customHeight="1" x14ac:dyDescent="0.2">
      <c r="A48" s="869"/>
      <c r="B48" s="879"/>
      <c r="C48" s="1877"/>
      <c r="D48" s="1877"/>
      <c r="E48" s="1877"/>
      <c r="F48" s="1877"/>
      <c r="G48" s="1877"/>
      <c r="H48" s="1877"/>
      <c r="I48" s="1877"/>
      <c r="J48" s="1877"/>
      <c r="K48" s="1877"/>
    </row>
    <row r="49" spans="1:11" s="871" customFormat="1" ht="12.95" customHeight="1" x14ac:dyDescent="0.2">
      <c r="A49" s="869"/>
      <c r="B49" s="879"/>
      <c r="C49" s="880"/>
      <c r="D49" s="880"/>
      <c r="E49" s="880"/>
      <c r="F49" s="880"/>
      <c r="G49" s="880"/>
      <c r="H49" s="880"/>
      <c r="I49" s="880"/>
      <c r="J49" s="880"/>
      <c r="K49" s="880"/>
    </row>
    <row r="50" spans="1:11" s="871" customFormat="1" ht="24.95" customHeight="1" x14ac:dyDescent="0.2">
      <c r="A50" s="869"/>
      <c r="B50" s="869"/>
      <c r="C50" s="1880" t="s">
        <v>36</v>
      </c>
      <c r="D50" s="1880"/>
      <c r="E50" s="1880"/>
      <c r="F50" s="1880"/>
      <c r="G50" s="1880"/>
      <c r="H50" s="1880"/>
      <c r="I50" s="1880"/>
      <c r="J50" s="1880"/>
      <c r="K50" s="1880"/>
    </row>
    <row r="51" spans="1:11" s="871" customFormat="1" ht="12.95" customHeight="1" x14ac:dyDescent="0.2">
      <c r="A51" s="869"/>
      <c r="B51" s="869"/>
      <c r="C51" s="880"/>
      <c r="D51" s="880"/>
      <c r="E51" s="880"/>
      <c r="F51" s="880"/>
      <c r="G51" s="880"/>
      <c r="H51" s="880"/>
      <c r="I51" s="880"/>
      <c r="J51" s="880"/>
      <c r="K51" s="880"/>
    </row>
    <row r="52" spans="1:11" s="871" customFormat="1" ht="24.95" customHeight="1" x14ac:dyDescent="0.2">
      <c r="A52" s="869"/>
      <c r="B52" s="869"/>
      <c r="C52" s="1877" t="s">
        <v>227</v>
      </c>
      <c r="D52" s="1877"/>
      <c r="E52" s="1877"/>
      <c r="F52" s="1877"/>
      <c r="G52" s="1877"/>
      <c r="H52" s="1877"/>
      <c r="I52" s="1877"/>
      <c r="J52" s="1877"/>
      <c r="K52" s="1877"/>
    </row>
    <row r="53" spans="1:11" s="871" customFormat="1" ht="12.95" customHeight="1" x14ac:dyDescent="0.2">
      <c r="A53" s="869"/>
      <c r="B53" s="869"/>
      <c r="C53" s="880"/>
      <c r="D53" s="880"/>
      <c r="E53" s="880"/>
      <c r="F53" s="880"/>
      <c r="G53" s="880"/>
      <c r="H53" s="880"/>
      <c r="I53" s="880"/>
      <c r="J53" s="880"/>
      <c r="K53" s="880"/>
    </row>
    <row r="54" spans="1:11" s="871" customFormat="1" ht="24.95" customHeight="1" x14ac:dyDescent="0.2">
      <c r="A54" s="869"/>
      <c r="B54" s="869"/>
      <c r="C54" s="1877" t="s">
        <v>37</v>
      </c>
      <c r="D54" s="1877"/>
      <c r="E54" s="1877"/>
      <c r="F54" s="1877"/>
      <c r="G54" s="1877"/>
      <c r="H54" s="1877"/>
      <c r="I54" s="1877"/>
      <c r="J54" s="1877"/>
      <c r="K54" s="1877"/>
    </row>
    <row r="55" spans="1:11" s="871" customFormat="1" ht="12.95" customHeight="1" x14ac:dyDescent="0.2">
      <c r="A55" s="869"/>
      <c r="B55" s="869"/>
      <c r="C55" s="1877"/>
      <c r="D55" s="1877"/>
      <c r="E55" s="1877"/>
      <c r="F55" s="1877"/>
      <c r="G55" s="1877"/>
      <c r="H55" s="1877"/>
      <c r="I55" s="1877"/>
      <c r="J55" s="1877"/>
      <c r="K55" s="880"/>
    </row>
    <row r="56" spans="1:11" s="871" customFormat="1" ht="24.95" customHeight="1" x14ac:dyDescent="0.2">
      <c r="A56" s="869"/>
      <c r="B56" s="871" t="s">
        <v>9</v>
      </c>
      <c r="C56" s="1877" t="s">
        <v>38</v>
      </c>
      <c r="D56" s="1877"/>
      <c r="E56" s="1877"/>
      <c r="F56" s="1877"/>
      <c r="G56" s="1877"/>
      <c r="H56" s="1877"/>
      <c r="I56" s="1877"/>
      <c r="J56" s="1877"/>
      <c r="K56" s="1877"/>
    </row>
    <row r="57" spans="1:11" s="871" customFormat="1" ht="12.95" customHeight="1" x14ac:dyDescent="0.2">
      <c r="A57" s="869"/>
      <c r="C57" s="1877"/>
      <c r="D57" s="1877"/>
      <c r="E57" s="1877"/>
      <c r="F57" s="1877"/>
      <c r="G57" s="1877"/>
      <c r="H57" s="1877"/>
      <c r="I57" s="1877"/>
      <c r="J57" s="1877"/>
      <c r="K57" s="880"/>
    </row>
    <row r="58" spans="1:11" s="871" customFormat="1" ht="24.95" customHeight="1" x14ac:dyDescent="0.2">
      <c r="A58" s="869"/>
      <c r="B58" s="869"/>
      <c r="C58" s="1877" t="s">
        <v>39</v>
      </c>
      <c r="D58" s="1877"/>
      <c r="E58" s="1877"/>
      <c r="F58" s="1877"/>
      <c r="G58" s="1877"/>
      <c r="H58" s="1877"/>
      <c r="I58" s="1877"/>
      <c r="J58" s="1877"/>
      <c r="K58" s="1877"/>
    </row>
    <row r="59" spans="1:11" s="871" customFormat="1" ht="12.95" customHeight="1" x14ac:dyDescent="0.2">
      <c r="A59" s="869"/>
      <c r="B59" s="869"/>
      <c r="C59" s="1877"/>
      <c r="D59" s="1877"/>
      <c r="E59" s="1877"/>
      <c r="F59" s="1877"/>
      <c r="G59" s="1877"/>
      <c r="H59" s="1877"/>
      <c r="I59" s="1877"/>
      <c r="J59" s="1877"/>
      <c r="K59" s="880"/>
    </row>
    <row r="60" spans="1:11" s="871" customFormat="1" ht="24.95" customHeight="1" x14ac:dyDescent="0.2">
      <c r="A60" s="869"/>
      <c r="B60" s="869"/>
      <c r="C60" s="1877" t="s">
        <v>432</v>
      </c>
      <c r="D60" s="1877"/>
      <c r="E60" s="1877"/>
      <c r="F60" s="1877"/>
      <c r="G60" s="1877"/>
      <c r="H60" s="1877"/>
      <c r="I60" s="1877"/>
      <c r="J60" s="1877"/>
      <c r="K60" s="1877"/>
    </row>
    <row r="61" spans="1:11" s="871" customFormat="1" ht="12.95" customHeight="1" x14ac:dyDescent="0.2">
      <c r="A61" s="869"/>
      <c r="B61" s="869"/>
      <c r="C61" s="1877"/>
      <c r="D61" s="1877"/>
      <c r="E61" s="1877"/>
      <c r="F61" s="1877"/>
      <c r="G61" s="1877"/>
      <c r="H61" s="1877"/>
      <c r="I61" s="1877"/>
      <c r="J61" s="1877"/>
      <c r="K61" s="880"/>
    </row>
    <row r="62" spans="1:11" s="871" customFormat="1" ht="24.95" customHeight="1" x14ac:dyDescent="0.2">
      <c r="A62" s="869"/>
      <c r="B62" s="869"/>
      <c r="C62" s="1883" t="s">
        <v>488</v>
      </c>
      <c r="D62" s="1883"/>
      <c r="E62" s="1883"/>
      <c r="F62" s="1883"/>
      <c r="G62" s="959">
        <f>'DATOS &amp;'!F15</f>
        <v>15.56</v>
      </c>
      <c r="H62" s="881"/>
      <c r="I62" s="881"/>
      <c r="J62" s="881"/>
      <c r="K62" s="881"/>
    </row>
    <row r="63" spans="1:11" s="871" customFormat="1" ht="12.95" customHeight="1" x14ac:dyDescent="0.2">
      <c r="A63" s="869"/>
      <c r="B63" s="869"/>
      <c r="C63" s="1877"/>
      <c r="D63" s="1877"/>
      <c r="E63" s="1877"/>
      <c r="F63" s="1877"/>
      <c r="G63" s="1877"/>
      <c r="H63" s="1877"/>
      <c r="I63" s="1877"/>
      <c r="J63" s="1877"/>
      <c r="K63" s="880"/>
    </row>
    <row r="64" spans="1:11" s="871" customFormat="1" ht="24.95" customHeight="1" x14ac:dyDescent="0.2">
      <c r="A64" s="869"/>
      <c r="B64" s="869"/>
      <c r="C64" s="1877" t="s">
        <v>327</v>
      </c>
      <c r="D64" s="1877"/>
      <c r="E64" s="1877"/>
      <c r="F64" s="1877"/>
      <c r="G64" s="1877"/>
      <c r="H64" s="1877"/>
      <c r="I64" s="1877"/>
      <c r="J64" s="1877"/>
      <c r="K64" s="880"/>
    </row>
    <row r="65" spans="1:12" s="871" customFormat="1" ht="12.95" customHeight="1" x14ac:dyDescent="0.25">
      <c r="A65" s="869"/>
      <c r="B65" s="869"/>
      <c r="C65" s="1877"/>
      <c r="D65" s="1877"/>
      <c r="E65" s="1877"/>
      <c r="F65" s="1877"/>
      <c r="G65" s="1877"/>
      <c r="H65" s="1877"/>
      <c r="I65" s="1877"/>
      <c r="J65" s="1877"/>
      <c r="K65" s="880"/>
      <c r="L65" s="842"/>
    </row>
    <row r="66" spans="1:12" s="871" customFormat="1" ht="24.95" customHeight="1" x14ac:dyDescent="0.25">
      <c r="A66" s="869"/>
      <c r="B66" s="869"/>
      <c r="C66" s="1880" t="s">
        <v>328</v>
      </c>
      <c r="D66" s="1880"/>
      <c r="E66" s="1880"/>
      <c r="F66" s="1880"/>
      <c r="G66" s="1880"/>
      <c r="H66" s="1880"/>
      <c r="I66" s="880"/>
      <c r="J66" s="880"/>
      <c r="K66" s="880"/>
      <c r="L66" s="842"/>
    </row>
    <row r="67" spans="1:12" s="871" customFormat="1" ht="12.95" customHeight="1" x14ac:dyDescent="0.25">
      <c r="A67" s="869"/>
      <c r="B67" s="869"/>
      <c r="C67" s="880"/>
      <c r="D67" s="880"/>
      <c r="E67" s="880"/>
      <c r="F67" s="880"/>
      <c r="G67" s="880"/>
      <c r="H67" s="880"/>
      <c r="I67" s="880"/>
      <c r="J67" s="880"/>
      <c r="K67" s="880"/>
      <c r="L67" s="842"/>
    </row>
    <row r="68" spans="1:12" s="871" customFormat="1" ht="24.95" customHeight="1" x14ac:dyDescent="0.25">
      <c r="A68" s="869"/>
      <c r="B68" s="869"/>
      <c r="C68" s="1880" t="s">
        <v>329</v>
      </c>
      <c r="D68" s="1880"/>
      <c r="E68" s="1880"/>
      <c r="F68" s="1880"/>
      <c r="G68" s="1880"/>
      <c r="H68" s="1880"/>
      <c r="I68" s="880"/>
      <c r="J68" s="880"/>
      <c r="K68" s="880"/>
      <c r="L68" s="842"/>
    </row>
    <row r="69" spans="1:12" s="871" customFormat="1" ht="12.95" customHeight="1" x14ac:dyDescent="0.25">
      <c r="A69" s="869"/>
      <c r="B69" s="869"/>
      <c r="C69" s="870"/>
      <c r="D69" s="870"/>
      <c r="E69" s="870"/>
      <c r="F69" s="870"/>
      <c r="G69" s="870"/>
      <c r="H69" s="870"/>
      <c r="I69" s="882"/>
      <c r="J69" s="882"/>
      <c r="K69" s="842"/>
      <c r="L69" s="842"/>
    </row>
    <row r="70" spans="1:12" ht="24.95" customHeight="1" x14ac:dyDescent="0.25">
      <c r="A70" s="869"/>
      <c r="B70" s="869"/>
      <c r="C70" s="870"/>
      <c r="D70" s="870"/>
      <c r="E70" s="870"/>
      <c r="F70" s="870"/>
      <c r="G70" s="870"/>
      <c r="H70" s="870"/>
      <c r="I70" s="882"/>
      <c r="J70" s="882"/>
    </row>
    <row r="71" spans="1:12" ht="23.1" customHeight="1" x14ac:dyDescent="0.25">
      <c r="A71" s="1876" t="s">
        <v>268</v>
      </c>
      <c r="B71" s="1876"/>
      <c r="C71" s="1876"/>
      <c r="D71" s="1876"/>
      <c r="E71" s="1876"/>
      <c r="F71" s="862"/>
      <c r="G71" s="862"/>
    </row>
    <row r="72" spans="1:12" ht="15.95" customHeight="1" x14ac:dyDescent="0.25">
      <c r="A72" s="883"/>
      <c r="B72" s="883"/>
      <c r="C72" s="883"/>
      <c r="D72" s="883"/>
      <c r="E72" s="883"/>
      <c r="F72" s="862"/>
      <c r="G72" s="862"/>
      <c r="H72" s="862"/>
      <c r="I72" s="862"/>
      <c r="J72" s="884"/>
    </row>
    <row r="73" spans="1:12" ht="15" customHeight="1" x14ac:dyDescent="0.25">
      <c r="A73" s="1881" t="s">
        <v>269</v>
      </c>
      <c r="B73" s="1881"/>
      <c r="C73" s="1881"/>
      <c r="D73" s="1881"/>
      <c r="E73" s="1881"/>
      <c r="F73" s="1881"/>
      <c r="G73" s="1881"/>
      <c r="H73" s="1881"/>
      <c r="I73" s="1881"/>
      <c r="J73" s="1881"/>
      <c r="K73" s="1881"/>
    </row>
    <row r="74" spans="1:12" ht="15.95" customHeight="1" thickBot="1" x14ac:dyDescent="0.3">
      <c r="A74" s="857"/>
      <c r="B74" s="857"/>
      <c r="C74" s="857"/>
      <c r="D74" s="857"/>
      <c r="E74" s="857"/>
      <c r="F74" s="857"/>
      <c r="G74" s="857"/>
      <c r="H74" s="857"/>
      <c r="I74" s="857"/>
      <c r="J74" s="865"/>
      <c r="K74" s="855"/>
    </row>
    <row r="75" spans="1:12" ht="20.100000000000001" customHeight="1" thickBot="1" x14ac:dyDescent="0.3">
      <c r="A75" s="857"/>
      <c r="C75" s="1882" t="s">
        <v>208</v>
      </c>
      <c r="D75" s="1882"/>
      <c r="E75" s="1882"/>
      <c r="F75" s="1882" t="s">
        <v>347</v>
      </c>
      <c r="G75" s="1882"/>
      <c r="H75" s="1882"/>
      <c r="I75" s="1882" t="s">
        <v>23</v>
      </c>
      <c r="J75" s="1882"/>
      <c r="K75" s="855"/>
    </row>
    <row r="76" spans="1:12" ht="36" customHeight="1" thickBot="1" x14ac:dyDescent="0.3">
      <c r="A76" s="863"/>
      <c r="B76" s="885"/>
      <c r="C76" s="1890" t="e">
        <f>VLOOKUP($B$76,'DATOS &amp;'!Q26:T28,2,FALSE)</f>
        <v>#N/A</v>
      </c>
      <c r="D76" s="1890"/>
      <c r="E76" s="1890"/>
      <c r="F76" s="1890" t="e">
        <f>VLOOKUP($B$76,'DATOS &amp;'!Q26:T28,3,FALSE)</f>
        <v>#N/A</v>
      </c>
      <c r="G76" s="1890"/>
      <c r="H76" s="1890"/>
      <c r="I76" s="1891" t="e">
        <f>VLOOKUP($B$76,'DATOS &amp;'!Q26:T28,4,FALSE)</f>
        <v>#N/A</v>
      </c>
      <c r="J76" s="1891"/>
      <c r="K76" s="855"/>
    </row>
    <row r="77" spans="1:12" ht="32.1" customHeight="1" x14ac:dyDescent="0.25">
      <c r="A77" s="862"/>
    </row>
    <row r="78" spans="1:12" ht="125.1" customHeight="1" x14ac:dyDescent="0.25">
      <c r="A78" s="862"/>
    </row>
    <row r="79" spans="1:12" ht="35.1" customHeight="1" x14ac:dyDescent="0.25">
      <c r="A79" s="862"/>
    </row>
    <row r="80" spans="1:12" ht="35.1" customHeight="1" x14ac:dyDescent="0.25">
      <c r="A80" s="862"/>
      <c r="I80" s="958" t="s">
        <v>225</v>
      </c>
      <c r="J80" s="1864">
        <f>J3</f>
        <v>0</v>
      </c>
      <c r="K80" s="1864"/>
    </row>
    <row r="81" spans="1:12" ht="24.95" customHeight="1" x14ac:dyDescent="0.25">
      <c r="A81" s="1876" t="s">
        <v>270</v>
      </c>
      <c r="B81" s="1876"/>
      <c r="C81" s="1876"/>
      <c r="D81" s="1876"/>
      <c r="E81" s="1876"/>
      <c r="F81" s="857"/>
      <c r="G81" s="857"/>
      <c r="H81" s="857"/>
      <c r="I81" s="857"/>
      <c r="J81" s="886"/>
      <c r="K81" s="855"/>
    </row>
    <row r="82" spans="1:12" ht="9.9499999999999993" customHeight="1" x14ac:dyDescent="0.25">
      <c r="A82" s="864"/>
      <c r="B82" s="857"/>
      <c r="C82" s="857"/>
      <c r="D82" s="857"/>
      <c r="E82" s="857"/>
      <c r="F82" s="857"/>
      <c r="G82" s="857"/>
      <c r="H82" s="857"/>
      <c r="I82" s="857"/>
      <c r="J82" s="865"/>
      <c r="K82" s="855"/>
    </row>
    <row r="83" spans="1:12" ht="17.100000000000001" customHeight="1" x14ac:dyDescent="0.25">
      <c r="A83" s="1884" t="s">
        <v>489</v>
      </c>
      <c r="B83" s="1884"/>
      <c r="C83" s="1884"/>
      <c r="D83" s="1884"/>
      <c r="E83" s="1884"/>
      <c r="F83" s="1884"/>
      <c r="G83" s="1884"/>
      <c r="H83" s="1884"/>
      <c r="I83" s="1884"/>
      <c r="J83" s="1884"/>
      <c r="K83" s="1884"/>
    </row>
    <row r="84" spans="1:12" ht="17.100000000000001" customHeight="1" x14ac:dyDescent="0.25">
      <c r="A84" s="1884"/>
      <c r="B84" s="1884"/>
      <c r="C84" s="1884"/>
      <c r="D84" s="1884"/>
      <c r="E84" s="1884"/>
      <c r="F84" s="1884"/>
      <c r="G84" s="1884"/>
      <c r="H84" s="1884"/>
      <c r="I84" s="1884"/>
      <c r="J84" s="1884"/>
      <c r="K84" s="1884"/>
    </row>
    <row r="85" spans="1:12" ht="15.95" customHeight="1" x14ac:dyDescent="0.25">
      <c r="A85" s="887"/>
      <c r="B85" s="887"/>
      <c r="C85" s="887"/>
      <c r="D85" s="887"/>
      <c r="E85" s="887"/>
      <c r="F85" s="887"/>
      <c r="G85" s="887"/>
      <c r="H85" s="887"/>
      <c r="I85" s="887"/>
      <c r="J85" s="887"/>
      <c r="K85" s="888"/>
    </row>
    <row r="86" spans="1:12" s="891" customFormat="1" ht="24.95" customHeight="1" x14ac:dyDescent="0.3">
      <c r="A86" s="1876" t="s">
        <v>271</v>
      </c>
      <c r="B86" s="1876"/>
      <c r="C86" s="1876"/>
      <c r="D86" s="1876"/>
      <c r="E86" s="1876"/>
      <c r="F86" s="889"/>
      <c r="G86" s="889"/>
      <c r="H86" s="888"/>
      <c r="I86" s="888"/>
      <c r="J86" s="890"/>
      <c r="K86" s="888"/>
    </row>
    <row r="87" spans="1:12" ht="9.9499999999999993" customHeight="1" x14ac:dyDescent="0.25">
      <c r="A87" s="892"/>
      <c r="B87" s="892"/>
      <c r="C87" s="892"/>
      <c r="D87" s="892"/>
      <c r="E87" s="892"/>
      <c r="F87" s="857"/>
      <c r="G87" s="857"/>
      <c r="H87" s="855"/>
      <c r="I87" s="855"/>
      <c r="J87" s="865"/>
      <c r="K87" s="855"/>
    </row>
    <row r="88" spans="1:12" ht="42.75" customHeight="1" x14ac:dyDescent="0.25">
      <c r="A88" s="1884" t="s">
        <v>259</v>
      </c>
      <c r="B88" s="1884"/>
      <c r="C88" s="1884"/>
      <c r="D88" s="1884"/>
      <c r="E88" s="1884"/>
      <c r="F88" s="1884"/>
      <c r="G88" s="1884"/>
      <c r="H88" s="1884"/>
      <c r="I88" s="1884"/>
      <c r="J88" s="1884"/>
      <c r="K88" s="1884"/>
    </row>
    <row r="89" spans="1:12" ht="15.95" customHeight="1" thickBot="1" x14ac:dyDescent="0.3">
      <c r="A89" s="893"/>
      <c r="B89" s="893"/>
      <c r="C89" s="893"/>
      <c r="D89" s="893"/>
      <c r="E89" s="893"/>
      <c r="F89" s="893"/>
      <c r="G89" s="893"/>
      <c r="H89" s="893"/>
      <c r="I89" s="893"/>
      <c r="J89" s="893"/>
    </row>
    <row r="90" spans="1:12" ht="33" customHeight="1" thickBot="1" x14ac:dyDescent="0.3">
      <c r="A90" s="1885" t="s">
        <v>40</v>
      </c>
      <c r="B90" s="1886"/>
      <c r="C90" s="1887"/>
      <c r="D90" s="894" t="s">
        <v>26</v>
      </c>
      <c r="E90" s="1888" t="s">
        <v>260</v>
      </c>
      <c r="F90" s="1889"/>
      <c r="G90" s="1885" t="s">
        <v>41</v>
      </c>
      <c r="H90" s="1886"/>
      <c r="I90" s="1885" t="s">
        <v>42</v>
      </c>
      <c r="J90" s="1887"/>
      <c r="K90" s="895"/>
    </row>
    <row r="91" spans="1:12" ht="33" customHeight="1" x14ac:dyDescent="0.25">
      <c r="A91" s="1907" t="s">
        <v>308</v>
      </c>
      <c r="B91" s="1908"/>
      <c r="C91" s="1908"/>
      <c r="D91" s="973" t="str">
        <f>'DATOS &amp;'!D31</f>
        <v>Serhapin test Measure</v>
      </c>
      <c r="E91" s="1909" t="s">
        <v>330</v>
      </c>
      <c r="F91" s="1910"/>
      <c r="G91" s="1911" t="str">
        <f>'DATOS &amp;'!E31</f>
        <v xml:space="preserve">16-5935702    C-I V-005         </v>
      </c>
      <c r="H91" s="1912"/>
      <c r="I91" s="1911" t="str">
        <f>'DATOS &amp;'!L31</f>
        <v xml:space="preserve">INM 5053 </v>
      </c>
      <c r="J91" s="1913"/>
      <c r="K91" s="895"/>
    </row>
    <row r="92" spans="1:12" ht="33" customHeight="1" x14ac:dyDescent="0.25">
      <c r="A92" s="1892" t="s">
        <v>246</v>
      </c>
      <c r="B92" s="1893"/>
      <c r="C92" s="1893"/>
      <c r="D92" s="974" t="str">
        <f>'DATOS &amp;'!D38</f>
        <v xml:space="preserve">Lufft </v>
      </c>
      <c r="E92" s="1894" t="s">
        <v>337</v>
      </c>
      <c r="F92" s="1895"/>
      <c r="G92" s="1896" t="str">
        <f>'DATOS &amp;'!E44</f>
        <v xml:space="preserve">004,0816,1212,006 / pt 347980,002     </v>
      </c>
      <c r="H92" s="1897"/>
      <c r="I92" s="1896" t="str">
        <f>'DATOS &amp;'!L44</f>
        <v>INM 4539</v>
      </c>
      <c r="J92" s="1898"/>
      <c r="K92" s="895"/>
    </row>
    <row r="93" spans="1:12" ht="33" customHeight="1" x14ac:dyDescent="0.25">
      <c r="A93" s="1892" t="s">
        <v>247</v>
      </c>
      <c r="B93" s="1893"/>
      <c r="C93" s="1893"/>
      <c r="D93" s="974" t="str">
        <f>'DATOS &amp;'!D44</f>
        <v xml:space="preserve">Lufft </v>
      </c>
      <c r="E93" s="1894" t="s">
        <v>337</v>
      </c>
      <c r="F93" s="1895"/>
      <c r="G93" s="1896" t="str">
        <f>'DATOS &amp;'!E38</f>
        <v xml:space="preserve">22,1014,1212,,005 / pt 347980,004     </v>
      </c>
      <c r="H93" s="1897"/>
      <c r="I93" s="1896" t="str">
        <f>'DATOS &amp;'!L38</f>
        <v>INM 4538</v>
      </c>
      <c r="J93" s="1898"/>
      <c r="K93" s="895"/>
    </row>
    <row r="94" spans="1:12" ht="33" customHeight="1" thickBot="1" x14ac:dyDescent="0.3">
      <c r="A94" s="1899" t="s">
        <v>18</v>
      </c>
      <c r="B94" s="1900"/>
      <c r="C94" s="1900"/>
      <c r="D94" s="975" t="e">
        <f>VLOOKUP(K94,'DATOS &amp;'!$C$112:$L$118,2,FALSE)</f>
        <v>#N/A</v>
      </c>
      <c r="E94" s="1901" t="e">
        <f>VLOOKUP(K94,'DATOS &amp;'!$C$112:$M$118,11,FALSE)</f>
        <v>#N/A</v>
      </c>
      <c r="F94" s="1902"/>
      <c r="G94" s="1903" t="e">
        <f>VLOOKUP(K94,'DATOS &amp;'!$C$112:$L$118,3,FALSE)</f>
        <v>#N/A</v>
      </c>
      <c r="H94" s="1904"/>
      <c r="I94" s="1905" t="e">
        <f>VLOOKUP(K94,'DATOS &amp;'!$C$112:$L$118,10,FALSE)</f>
        <v>#N/A</v>
      </c>
      <c r="J94" s="1906"/>
      <c r="K94" s="896"/>
    </row>
    <row r="95" spans="1:12" ht="24.95" customHeight="1" x14ac:dyDescent="0.25">
      <c r="B95" s="851"/>
      <c r="C95" s="851"/>
      <c r="D95" s="897"/>
      <c r="E95" s="897"/>
      <c r="F95" s="852"/>
      <c r="G95" s="897"/>
      <c r="H95" s="897"/>
      <c r="I95" s="897"/>
      <c r="J95" s="897"/>
      <c r="K95" s="898"/>
      <c r="L95" s="898"/>
    </row>
    <row r="96" spans="1:12" s="891" customFormat="1" ht="24.95" customHeight="1" x14ac:dyDescent="0.3">
      <c r="A96" s="1876" t="s">
        <v>272</v>
      </c>
      <c r="B96" s="1876"/>
      <c r="C96" s="1876"/>
      <c r="D96" s="1876"/>
      <c r="E96" s="1876"/>
      <c r="F96" s="1876"/>
      <c r="G96" s="1876"/>
      <c r="H96" s="1876"/>
      <c r="I96" s="1876"/>
      <c r="J96" s="1876"/>
      <c r="K96" s="1876"/>
      <c r="L96" s="899"/>
    </row>
    <row r="97" spans="1:12" s="891" customFormat="1" ht="12" customHeight="1" x14ac:dyDescent="0.3">
      <c r="A97" s="900"/>
      <c r="B97" s="900"/>
      <c r="C97" s="900"/>
      <c r="D97" s="900"/>
      <c r="E97" s="900"/>
      <c r="F97" s="874"/>
      <c r="G97" s="874"/>
      <c r="H97" s="874"/>
      <c r="I97" s="874"/>
      <c r="J97" s="901"/>
      <c r="K97" s="899"/>
      <c r="L97" s="899"/>
    </row>
    <row r="98" spans="1:12" ht="15" customHeight="1" thickBot="1" x14ac:dyDescent="0.3">
      <c r="A98" s="1914" t="s">
        <v>228</v>
      </c>
      <c r="B98" s="1914"/>
      <c r="C98" s="1914"/>
      <c r="D98" s="1914"/>
      <c r="E98" s="1914"/>
      <c r="F98" s="1914"/>
      <c r="G98" s="1914"/>
      <c r="H98" s="1914"/>
      <c r="I98" s="1914"/>
      <c r="J98" s="901"/>
      <c r="K98" s="898"/>
      <c r="L98" s="898"/>
    </row>
    <row r="99" spans="1:12" ht="30" customHeight="1" thickBot="1" x14ac:dyDescent="0.3">
      <c r="A99" s="1888" t="s">
        <v>19</v>
      </c>
      <c r="B99" s="1889"/>
      <c r="C99" s="1888" t="s">
        <v>20</v>
      </c>
      <c r="D99" s="1915"/>
      <c r="E99" s="1889"/>
      <c r="F99" s="1888" t="s">
        <v>243</v>
      </c>
      <c r="G99" s="1889"/>
      <c r="H99" s="902" t="s">
        <v>309</v>
      </c>
      <c r="I99" s="903"/>
      <c r="J99" s="904" t="s">
        <v>340</v>
      </c>
      <c r="K99" s="980" t="s">
        <v>514</v>
      </c>
    </row>
    <row r="100" spans="1:12" s="898" customFormat="1" ht="24" customHeight="1" thickBot="1" x14ac:dyDescent="0.3">
      <c r="A100" s="1916" t="e">
        <f>'RT03-F33 &amp; '!#REF!</f>
        <v>#REF!</v>
      </c>
      <c r="B100" s="1917"/>
      <c r="C100" s="1922">
        <f>'RT03-F33 &amp; '!M58</f>
        <v>0</v>
      </c>
      <c r="D100" s="1922"/>
      <c r="E100" s="976" t="s">
        <v>2</v>
      </c>
      <c r="F100" s="905" t="e">
        <f>'RT03-F33 &amp; '!B194</f>
        <v>#N/A</v>
      </c>
      <c r="G100" s="978" t="s">
        <v>2</v>
      </c>
      <c r="H100" s="230" t="e">
        <f>IF('RT03-F33 &amp; '!E194&lt;=('CMC &amp;'!I12),5,'RT03-F33 &amp; '!E194)</f>
        <v>#N/A</v>
      </c>
      <c r="I100" s="978" t="s">
        <v>2</v>
      </c>
      <c r="J100" s="906" t="e">
        <f>'RT03-F33 &amp; '!H194</f>
        <v>#N/A</v>
      </c>
      <c r="K100" s="1923" t="e">
        <f>IF(AND('Pc &amp;'!H5&gt;=97.5%,'Pc &amp;'!I5&lt;=2.5%),"SI","NO")</f>
        <v>#N/A</v>
      </c>
    </row>
    <row r="101" spans="1:12" s="898" customFormat="1" ht="24" customHeight="1" thickBot="1" x14ac:dyDescent="0.3">
      <c r="A101" s="1918"/>
      <c r="B101" s="1919"/>
      <c r="C101" s="1922">
        <f>'RT03-F33 &amp; '!M56</f>
        <v>0</v>
      </c>
      <c r="D101" s="1922"/>
      <c r="E101" s="977" t="s">
        <v>513</v>
      </c>
      <c r="F101" s="907" t="e">
        <f>'RT03-F33 &amp; '!B195</f>
        <v>#N/A</v>
      </c>
      <c r="G101" s="979" t="s">
        <v>513</v>
      </c>
      <c r="H101" s="908" t="e">
        <f>IF('RT03-F33 &amp; '!E195&lt;=('CMC &amp;'!J12),0.31,'RT03-F33 &amp; '!E195)</f>
        <v>#N/A</v>
      </c>
      <c r="I101" s="979" t="s">
        <v>513</v>
      </c>
      <c r="J101" s="909" t="e">
        <f>'RT03-F33 &amp; '!H195</f>
        <v>#N/A</v>
      </c>
      <c r="K101" s="1924"/>
    </row>
    <row r="102" spans="1:12" s="898" customFormat="1" ht="24" customHeight="1" thickBot="1" x14ac:dyDescent="0.3">
      <c r="A102" s="1918"/>
      <c r="B102" s="1919"/>
      <c r="C102" s="1926">
        <f>'RT03-F33 &amp; '!M55</f>
        <v>0</v>
      </c>
      <c r="D102" s="1927"/>
      <c r="E102" s="977" t="s">
        <v>6</v>
      </c>
      <c r="F102" s="910" t="e">
        <f>'RT03-F33 &amp; '!B196</f>
        <v>#N/A</v>
      </c>
      <c r="G102" s="979" t="s">
        <v>6</v>
      </c>
      <c r="H102" s="911" t="e">
        <f>IF('RT03-F33 &amp; '!E196&lt;=('CMC &amp;'!K12),0.0013,'RT03-F33 &amp; '!E196)</f>
        <v>#N/A</v>
      </c>
      <c r="I102" s="979" t="s">
        <v>6</v>
      </c>
      <c r="J102" s="912" t="e">
        <f>'RT03-F33 &amp; '!H196</f>
        <v>#N/A</v>
      </c>
      <c r="K102" s="1924"/>
    </row>
    <row r="103" spans="1:12" ht="24" customHeight="1" thickBot="1" x14ac:dyDescent="0.3">
      <c r="A103" s="1920"/>
      <c r="B103" s="1921"/>
      <c r="C103" s="1934">
        <v>100</v>
      </c>
      <c r="D103" s="1935"/>
      <c r="E103" s="977" t="s">
        <v>209</v>
      </c>
      <c r="F103" s="913" t="e">
        <f>'RT03-F33 &amp; '!B197</f>
        <v>#N/A</v>
      </c>
      <c r="G103" s="977" t="s">
        <v>209</v>
      </c>
      <c r="H103" s="914" t="e">
        <f>IF('RT03-F33 &amp; '!E197&lt;=('CMC &amp;'!L12),0.026,'RT03-F33 &amp; '!E197)</f>
        <v>#N/A</v>
      </c>
      <c r="I103" s="979" t="s">
        <v>209</v>
      </c>
      <c r="J103" s="915" t="e">
        <f>'RT03-F33 &amp; '!H197</f>
        <v>#N/A</v>
      </c>
      <c r="K103" s="1925"/>
    </row>
    <row r="104" spans="1:12" ht="20.100000000000001" customHeight="1" x14ac:dyDescent="0.25">
      <c r="A104" s="916"/>
      <c r="B104" s="917"/>
      <c r="C104" s="918"/>
      <c r="D104" s="918"/>
      <c r="E104" s="919"/>
      <c r="F104" s="920"/>
      <c r="G104" s="919"/>
      <c r="H104" s="921"/>
      <c r="I104" s="921"/>
      <c r="J104" s="921"/>
      <c r="K104" s="921"/>
      <c r="L104" s="921"/>
    </row>
    <row r="105" spans="1:12" ht="15" customHeight="1" thickBot="1" x14ac:dyDescent="0.3">
      <c r="A105" s="922" t="s">
        <v>244</v>
      </c>
      <c r="B105" s="922"/>
      <c r="C105" s="922"/>
      <c r="D105" s="922"/>
      <c r="E105" s="922"/>
      <c r="F105" s="922"/>
      <c r="G105" s="922"/>
      <c r="H105" s="922"/>
      <c r="I105" s="922"/>
      <c r="J105" s="922"/>
      <c r="K105" s="922"/>
      <c r="L105" s="922"/>
    </row>
    <row r="106" spans="1:12" s="895" customFormat="1" ht="30" customHeight="1" thickBot="1" x14ac:dyDescent="0.25">
      <c r="A106" s="923" t="s">
        <v>19</v>
      </c>
      <c r="B106" s="924"/>
      <c r="C106" s="923" t="s">
        <v>20</v>
      </c>
      <c r="D106" s="924"/>
      <c r="E106" s="923"/>
      <c r="F106" s="1888" t="s">
        <v>243</v>
      </c>
      <c r="G106" s="1915"/>
      <c r="H106" s="902" t="s">
        <v>338</v>
      </c>
      <c r="I106" s="903"/>
      <c r="J106" s="904" t="s">
        <v>341</v>
      </c>
      <c r="K106" s="980" t="s">
        <v>514</v>
      </c>
    </row>
    <row r="107" spans="1:12" ht="24" customHeight="1" thickBot="1" x14ac:dyDescent="0.3">
      <c r="A107" s="1936" t="e">
        <f>A100</f>
        <v>#REF!</v>
      </c>
      <c r="B107" s="1937"/>
      <c r="C107" s="1922">
        <f>C100</f>
        <v>0</v>
      </c>
      <c r="D107" s="1922"/>
      <c r="E107" s="977" t="s">
        <v>2</v>
      </c>
      <c r="F107" s="905" t="e">
        <f>#REF!</f>
        <v>#REF!</v>
      </c>
      <c r="G107" s="983" t="s">
        <v>2</v>
      </c>
      <c r="H107" s="906" t="e">
        <f>IF(#REF!&lt;=('CMC &amp;'!I12),5,#REF!)</f>
        <v>#REF!</v>
      </c>
      <c r="I107" s="977" t="s">
        <v>2</v>
      </c>
      <c r="J107" s="925" t="e">
        <f>#REF!</f>
        <v>#REF!</v>
      </c>
      <c r="K107" s="1942" t="e">
        <f>IF(AND('Pc &amp;'!H11&gt;=97.5%,'Pc &amp;'!I11&lt;=2.5%),"SI","NO")</f>
        <v>#REF!</v>
      </c>
    </row>
    <row r="108" spans="1:12" ht="24" customHeight="1" thickBot="1" x14ac:dyDescent="0.3">
      <c r="A108" s="1938"/>
      <c r="B108" s="1939"/>
      <c r="C108" s="1922">
        <f>C101</f>
        <v>0</v>
      </c>
      <c r="D108" s="1922"/>
      <c r="E108" s="977" t="s">
        <v>513</v>
      </c>
      <c r="F108" s="907" t="e">
        <f>#REF!</f>
        <v>#REF!</v>
      </c>
      <c r="G108" s="983" t="s">
        <v>513</v>
      </c>
      <c r="H108" s="909" t="e">
        <f>IF(#REF!&lt;=('CMC &amp;'!J12),0.31,#REF!)</f>
        <v>#REF!</v>
      </c>
      <c r="I108" s="977" t="s">
        <v>513</v>
      </c>
      <c r="J108" s="926" t="e">
        <f>#REF!</f>
        <v>#REF!</v>
      </c>
      <c r="K108" s="1943"/>
    </row>
    <row r="109" spans="1:12" ht="24" customHeight="1" thickBot="1" x14ac:dyDescent="0.3">
      <c r="A109" s="1938"/>
      <c r="B109" s="1939"/>
      <c r="C109" s="981">
        <f>C102</f>
        <v>0</v>
      </c>
      <c r="D109" s="982"/>
      <c r="E109" s="977" t="s">
        <v>6</v>
      </c>
      <c r="F109" s="910" t="e">
        <f>#REF!</f>
        <v>#REF!</v>
      </c>
      <c r="G109" s="983" t="s">
        <v>6</v>
      </c>
      <c r="H109" s="912" t="e">
        <f>IF(#REF!&lt;=('CMC &amp;'!K12),0.0013,'RT03-F33 &amp; '!E196)</f>
        <v>#REF!</v>
      </c>
      <c r="I109" s="977" t="s">
        <v>6</v>
      </c>
      <c r="J109" s="927" t="e">
        <f>#REF!</f>
        <v>#REF!</v>
      </c>
      <c r="K109" s="1943"/>
    </row>
    <row r="110" spans="1:12" ht="24" customHeight="1" thickBot="1" x14ac:dyDescent="0.3">
      <c r="A110" s="1940"/>
      <c r="B110" s="1941"/>
      <c r="C110" s="1934">
        <v>100</v>
      </c>
      <c r="D110" s="1935"/>
      <c r="E110" s="977" t="s">
        <v>209</v>
      </c>
      <c r="F110" s="913" t="e">
        <f>#REF!</f>
        <v>#REF!</v>
      </c>
      <c r="G110" s="977" t="s">
        <v>209</v>
      </c>
      <c r="H110" s="914" t="e">
        <f>IF(#REF!&lt;=('CMC &amp;'!L12),0.026,#REF!)</f>
        <v>#REF!</v>
      </c>
      <c r="I110" s="979" t="s">
        <v>209</v>
      </c>
      <c r="J110" s="928" t="e">
        <f>#REF!</f>
        <v>#REF!</v>
      </c>
      <c r="K110" s="1944"/>
    </row>
    <row r="111" spans="1:12" ht="11.25" customHeight="1" x14ac:dyDescent="0.25">
      <c r="G111" s="984"/>
    </row>
    <row r="112" spans="1:12" ht="30.75" customHeight="1" x14ac:dyDescent="0.25">
      <c r="A112" s="1928" t="s">
        <v>344</v>
      </c>
      <c r="B112" s="1928"/>
      <c r="C112" s="1928"/>
      <c r="D112" s="1928"/>
      <c r="E112" s="1928"/>
      <c r="F112" s="1928"/>
      <c r="G112" s="1928"/>
      <c r="H112" s="1928"/>
      <c r="I112" s="1928"/>
      <c r="J112" s="1928"/>
      <c r="K112" s="1928"/>
    </row>
    <row r="113" spans="1:11" ht="8.25" customHeight="1" thickBot="1" x14ac:dyDescent="0.3">
      <c r="A113" s="929"/>
      <c r="B113" s="929"/>
      <c r="C113" s="929"/>
      <c r="D113" s="929"/>
      <c r="E113" s="929"/>
      <c r="F113" s="929"/>
      <c r="G113" s="929"/>
      <c r="H113" s="929"/>
      <c r="I113" s="929"/>
      <c r="J113" s="929"/>
      <c r="K113" s="929"/>
    </row>
    <row r="114" spans="1:11" ht="24.95" customHeight="1" thickBot="1" x14ac:dyDescent="0.3">
      <c r="A114" s="929"/>
      <c r="B114" s="929"/>
      <c r="C114" s="929"/>
      <c r="D114" s="898"/>
      <c r="E114" s="930" t="s">
        <v>339</v>
      </c>
      <c r="F114" s="931">
        <f>(C107*0.05%)</f>
        <v>0</v>
      </c>
      <c r="G114" s="930" t="s">
        <v>2</v>
      </c>
      <c r="H114" s="929"/>
      <c r="I114" s="932"/>
      <c r="J114" s="929"/>
      <c r="K114" s="929"/>
    </row>
    <row r="115" spans="1:11" ht="24.95" customHeight="1" x14ac:dyDescent="0.25">
      <c r="A115" s="929"/>
      <c r="B115" s="929"/>
      <c r="C115" s="929"/>
      <c r="D115" s="929"/>
      <c r="E115" s="929"/>
      <c r="F115" s="929"/>
      <c r="G115" s="929"/>
      <c r="H115" s="929"/>
      <c r="I115" s="933"/>
      <c r="J115" s="929"/>
      <c r="K115" s="929"/>
    </row>
    <row r="116" spans="1:11" ht="15.95" customHeight="1" x14ac:dyDescent="0.25">
      <c r="A116" s="929"/>
      <c r="B116" s="929"/>
      <c r="C116" s="929"/>
      <c r="D116" s="929"/>
      <c r="E116" s="929"/>
      <c r="F116" s="929"/>
      <c r="G116" s="929"/>
      <c r="H116" s="929"/>
      <c r="I116" s="932"/>
      <c r="J116" s="929"/>
      <c r="K116" s="929"/>
    </row>
    <row r="117" spans="1:11" ht="125.1" customHeight="1" x14ac:dyDescent="0.25">
      <c r="A117" s="929"/>
      <c r="B117" s="929"/>
      <c r="C117" s="929"/>
      <c r="D117" s="929"/>
      <c r="E117" s="929"/>
      <c r="F117" s="929"/>
      <c r="G117" s="929"/>
      <c r="H117" s="929"/>
      <c r="I117" s="932"/>
      <c r="J117" s="929"/>
      <c r="K117" s="929"/>
    </row>
    <row r="118" spans="1:11" ht="35.1" customHeight="1" x14ac:dyDescent="0.25">
      <c r="A118" s="929"/>
      <c r="B118" s="929"/>
      <c r="C118" s="929"/>
      <c r="D118" s="929"/>
      <c r="E118" s="929"/>
      <c r="F118" s="929"/>
      <c r="G118" s="929"/>
      <c r="H118" s="929"/>
      <c r="I118" s="932"/>
      <c r="J118" s="929"/>
      <c r="K118" s="929"/>
    </row>
    <row r="119" spans="1:11" ht="35.1" customHeight="1" thickBot="1" x14ac:dyDescent="0.3">
      <c r="A119" s="929"/>
      <c r="B119" s="929"/>
      <c r="C119" s="929"/>
      <c r="D119" s="929"/>
      <c r="E119" s="929"/>
      <c r="F119" s="929"/>
      <c r="G119" s="929"/>
      <c r="H119" s="929"/>
      <c r="I119" s="961" t="s">
        <v>225</v>
      </c>
      <c r="J119" s="1929">
        <f>J3</f>
        <v>0</v>
      </c>
      <c r="K119" s="1930"/>
    </row>
    <row r="120" spans="1:11" ht="18" customHeight="1" thickBot="1" x14ac:dyDescent="0.3">
      <c r="A120" s="1931" t="s">
        <v>273</v>
      </c>
      <c r="B120" s="1931"/>
      <c r="C120" s="1931"/>
      <c r="D120" s="1931"/>
      <c r="E120" s="1931"/>
      <c r="F120" s="934" t="e">
        <f>IF((F107)," SI","NO")</f>
        <v>#REF!</v>
      </c>
      <c r="G120" s="855"/>
      <c r="H120" s="935"/>
    </row>
    <row r="121" spans="1:11" ht="7.5" customHeight="1" thickBot="1" x14ac:dyDescent="0.3">
      <c r="A121" s="936"/>
      <c r="B121" s="936"/>
      <c r="C121" s="936"/>
      <c r="D121" s="936"/>
      <c r="E121" s="936"/>
      <c r="F121" s="855"/>
      <c r="G121" s="855"/>
      <c r="H121" s="855"/>
      <c r="I121" s="937"/>
      <c r="J121" s="897"/>
    </row>
    <row r="122" spans="1:11" ht="15" customHeight="1" thickBot="1" x14ac:dyDescent="0.3">
      <c r="A122" s="1932" t="s">
        <v>167</v>
      </c>
      <c r="B122" s="1932"/>
      <c r="C122" s="1932"/>
      <c r="D122" s="1932"/>
      <c r="E122" s="1932"/>
      <c r="F122" s="938" t="s">
        <v>253</v>
      </c>
      <c r="G122" s="939"/>
      <c r="H122" s="940"/>
      <c r="I122" s="939"/>
      <c r="J122" s="862"/>
    </row>
    <row r="123" spans="1:11" ht="6" customHeight="1" x14ac:dyDescent="0.25">
      <c r="A123" s="941"/>
      <c r="B123" s="941"/>
      <c r="C123" s="941"/>
      <c r="D123" s="941"/>
      <c r="E123" s="941"/>
      <c r="F123" s="941"/>
      <c r="G123" s="941"/>
      <c r="H123" s="855"/>
      <c r="I123" s="855"/>
    </row>
    <row r="124" spans="1:11" ht="16.5" customHeight="1" x14ac:dyDescent="0.25">
      <c r="A124" s="1859" t="s">
        <v>331</v>
      </c>
      <c r="B124" s="1859"/>
      <c r="C124" s="1859"/>
      <c r="D124" s="1859"/>
      <c r="E124" s="1859"/>
      <c r="F124" s="1859"/>
      <c r="G124" s="1859"/>
      <c r="H124" s="1859"/>
      <c r="I124" s="1859"/>
      <c r="J124" s="852"/>
    </row>
    <row r="125" spans="1:11" ht="20.100000000000001" customHeight="1" thickBot="1" x14ac:dyDescent="0.3">
      <c r="A125" s="857"/>
      <c r="B125" s="857"/>
      <c r="C125" s="857"/>
      <c r="D125" s="857"/>
      <c r="E125" s="303"/>
      <c r="F125" s="1933" t="s">
        <v>4</v>
      </c>
      <c r="G125" s="1933"/>
      <c r="H125" s="855"/>
      <c r="I125" s="855"/>
      <c r="J125" s="855"/>
      <c r="K125" s="855"/>
    </row>
    <row r="126" spans="1:11" ht="16.5" customHeight="1" x14ac:dyDescent="0.25">
      <c r="A126" s="854"/>
      <c r="C126" s="942" t="e">
        <f>'VERIFICACIÓN DE LA ESCALA &amp;'!C56</f>
        <v>#N/A</v>
      </c>
      <c r="D126" s="943" t="s">
        <v>2</v>
      </c>
      <c r="E126" s="1946" t="s">
        <v>245</v>
      </c>
      <c r="F126" s="304" t="e">
        <f>'VERIFICACIÓN DE LA ESCALA &amp;'!F56</f>
        <v>#N/A</v>
      </c>
      <c r="G126" s="812" t="s">
        <v>2</v>
      </c>
      <c r="I126" s="855"/>
      <c r="J126" s="855"/>
      <c r="K126" s="855"/>
    </row>
    <row r="127" spans="1:11" ht="17.25" customHeight="1" x14ac:dyDescent="0.25">
      <c r="A127" s="857"/>
      <c r="C127" s="944" t="e">
        <f>'VERIFICACIÓN DE LA ESCALA &amp;'!C57</f>
        <v>#N/A</v>
      </c>
      <c r="D127" s="945" t="s">
        <v>511</v>
      </c>
      <c r="E127" s="1946"/>
      <c r="F127" s="305" t="e">
        <f>'VERIFICACIÓN DE LA ESCALA &amp;'!F57</f>
        <v>#N/A</v>
      </c>
      <c r="G127" s="812" t="s">
        <v>380</v>
      </c>
      <c r="I127" s="855"/>
      <c r="J127" s="855"/>
      <c r="K127" s="855"/>
    </row>
    <row r="128" spans="1:11" ht="15" customHeight="1" thickBot="1" x14ac:dyDescent="0.3">
      <c r="A128" s="857"/>
      <c r="C128" s="946" t="e">
        <f>'VERIFICACIÓN DE LA ESCALA &amp;'!C58</f>
        <v>#N/A</v>
      </c>
      <c r="D128" s="947" t="s">
        <v>209</v>
      </c>
      <c r="E128" s="1946"/>
      <c r="F128" s="306" t="e">
        <f>'VERIFICACIÓN DE LA ESCALA &amp;'!F58</f>
        <v>#N/A</v>
      </c>
      <c r="G128" s="812" t="s">
        <v>209</v>
      </c>
      <c r="I128" s="855"/>
      <c r="J128" s="855"/>
      <c r="K128" s="855"/>
    </row>
    <row r="129" spans="1:12" ht="24.95" customHeight="1" x14ac:dyDescent="0.25">
      <c r="A129" s="857"/>
      <c r="B129" s="855"/>
      <c r="C129" s="855"/>
      <c r="D129" s="855"/>
      <c r="E129" s="855"/>
      <c r="F129" s="855"/>
      <c r="G129" s="855"/>
      <c r="H129" s="844"/>
      <c r="I129" s="867"/>
      <c r="J129" s="867"/>
      <c r="K129" s="867"/>
    </row>
    <row r="130" spans="1:12" ht="12" customHeight="1" x14ac:dyDescent="0.25">
      <c r="A130" s="1947" t="s">
        <v>274</v>
      </c>
      <c r="B130" s="1947"/>
      <c r="C130" s="1947"/>
      <c r="D130" s="1947"/>
      <c r="E130" s="1947"/>
      <c r="F130" s="1947"/>
      <c r="G130" s="856"/>
      <c r="H130" s="855"/>
      <c r="I130" s="855"/>
      <c r="J130" s="855"/>
      <c r="K130" s="855"/>
    </row>
    <row r="131" spans="1:12" ht="12" customHeight="1" x14ac:dyDescent="0.25">
      <c r="A131" s="948"/>
      <c r="B131" s="948"/>
      <c r="C131" s="948"/>
      <c r="D131" s="948"/>
      <c r="E131" s="948"/>
      <c r="F131" s="948"/>
      <c r="G131" s="856"/>
      <c r="H131" s="855"/>
      <c r="I131" s="855"/>
      <c r="J131" s="855"/>
      <c r="K131" s="855"/>
    </row>
    <row r="132" spans="1:12" ht="32.1" customHeight="1" x14ac:dyDescent="0.25">
      <c r="A132" s="985" t="s">
        <v>415</v>
      </c>
      <c r="B132" s="1945" t="s">
        <v>416</v>
      </c>
      <c r="C132" s="1945"/>
      <c r="D132" s="1945"/>
      <c r="E132" s="1945"/>
      <c r="F132" s="1945"/>
      <c r="G132" s="1945"/>
      <c r="H132" s="1945"/>
      <c r="I132" s="1945"/>
      <c r="J132" s="1945"/>
      <c r="K132" s="1945"/>
    </row>
    <row r="133" spans="1:12" ht="32.1" customHeight="1" x14ac:dyDescent="0.25">
      <c r="A133" s="985" t="s">
        <v>415</v>
      </c>
      <c r="B133" s="1945" t="s">
        <v>417</v>
      </c>
      <c r="C133" s="1945"/>
      <c r="D133" s="1945"/>
      <c r="E133" s="1945"/>
      <c r="F133" s="1945"/>
      <c r="G133" s="1945"/>
      <c r="H133" s="1945"/>
      <c r="I133" s="1945"/>
      <c r="J133" s="1945"/>
      <c r="K133" s="1945"/>
    </row>
    <row r="134" spans="1:12" ht="32.1" customHeight="1" x14ac:dyDescent="0.25">
      <c r="A134" s="985" t="s">
        <v>415</v>
      </c>
      <c r="B134" s="1945" t="s">
        <v>418</v>
      </c>
      <c r="C134" s="1945"/>
      <c r="D134" s="1945"/>
      <c r="E134" s="1945"/>
      <c r="F134" s="1945"/>
      <c r="G134" s="1945"/>
      <c r="H134" s="1945"/>
      <c r="I134" s="1945"/>
      <c r="J134" s="1945"/>
      <c r="K134" s="1945"/>
    </row>
    <row r="135" spans="1:12" s="949" customFormat="1" ht="23.1" customHeight="1" x14ac:dyDescent="0.25">
      <c r="A135" s="985" t="s">
        <v>415</v>
      </c>
      <c r="B135" s="1945" t="s">
        <v>419</v>
      </c>
      <c r="C135" s="1945"/>
      <c r="D135" s="1945"/>
      <c r="E135" s="1945"/>
      <c r="F135" s="1945"/>
      <c r="G135" s="1945"/>
      <c r="H135" s="1945"/>
      <c r="I135" s="1945"/>
      <c r="J135" s="1945"/>
      <c r="K135" s="1945"/>
    </row>
    <row r="136" spans="1:12" s="949" customFormat="1" ht="23.1" customHeight="1" x14ac:dyDescent="0.25">
      <c r="A136" s="985" t="s">
        <v>415</v>
      </c>
      <c r="B136" s="1945" t="s">
        <v>420</v>
      </c>
      <c r="C136" s="1945"/>
      <c r="D136" s="1945"/>
      <c r="E136" s="1945"/>
      <c r="F136" s="1945"/>
      <c r="G136" s="1945"/>
      <c r="H136" s="1945"/>
      <c r="I136" s="1945"/>
      <c r="J136" s="1945"/>
      <c r="K136" s="1945"/>
    </row>
    <row r="137" spans="1:12" s="949" customFormat="1" ht="23.1" customHeight="1" x14ac:dyDescent="0.25">
      <c r="A137" s="985" t="s">
        <v>415</v>
      </c>
      <c r="B137" s="1945" t="s">
        <v>421</v>
      </c>
      <c r="C137" s="1945"/>
      <c r="D137" s="1945"/>
      <c r="E137" s="1945"/>
      <c r="F137" s="1945"/>
      <c r="G137" s="1945"/>
      <c r="H137" s="1945"/>
      <c r="I137" s="1945"/>
      <c r="J137" s="1945"/>
      <c r="K137" s="1945"/>
    </row>
    <row r="138" spans="1:12" ht="23.1" customHeight="1" x14ac:dyDescent="0.25">
      <c r="A138" s="985" t="s">
        <v>415</v>
      </c>
      <c r="B138" s="1945" t="s">
        <v>422</v>
      </c>
      <c r="C138" s="1945"/>
      <c r="D138" s="1945"/>
      <c r="E138" s="1945"/>
      <c r="F138" s="1945"/>
      <c r="G138" s="1945"/>
      <c r="H138" s="1945"/>
      <c r="I138" s="1945"/>
      <c r="J138" s="1945"/>
      <c r="K138" s="1945"/>
    </row>
    <row r="139" spans="1:12" s="949" customFormat="1" ht="23.1" customHeight="1" x14ac:dyDescent="0.25">
      <c r="A139" s="985" t="s">
        <v>415</v>
      </c>
      <c r="B139" s="1945" t="s">
        <v>423</v>
      </c>
      <c r="C139" s="1945"/>
      <c r="D139" s="1945"/>
      <c r="E139" s="1945"/>
      <c r="F139" s="1945"/>
      <c r="G139" s="1945"/>
      <c r="H139" s="1945"/>
      <c r="I139" s="1945"/>
      <c r="J139" s="1945"/>
      <c r="K139" s="1945"/>
      <c r="L139" s="950"/>
    </row>
    <row r="140" spans="1:12" s="949" customFormat="1" ht="23.1" customHeight="1" x14ac:dyDescent="0.25">
      <c r="A140" s="985" t="s">
        <v>424</v>
      </c>
      <c r="B140" s="1945" t="s">
        <v>425</v>
      </c>
      <c r="C140" s="1945"/>
      <c r="D140" s="1945"/>
      <c r="E140" s="1945"/>
      <c r="F140" s="1945"/>
      <c r="G140" s="1945"/>
      <c r="H140" s="1945"/>
      <c r="I140" s="1945"/>
      <c r="J140" s="1945"/>
      <c r="K140" s="1945"/>
      <c r="L140" s="950"/>
    </row>
    <row r="141" spans="1:12" ht="23.1" customHeight="1" x14ac:dyDescent="0.25">
      <c r="A141" s="985" t="s">
        <v>424</v>
      </c>
      <c r="B141" s="1945" t="s">
        <v>498</v>
      </c>
      <c r="C141" s="1945"/>
      <c r="D141" s="1945"/>
      <c r="E141" s="1945"/>
      <c r="F141" s="1945"/>
      <c r="G141" s="1945"/>
      <c r="H141" s="1945"/>
      <c r="I141" s="1945"/>
      <c r="J141" s="1945"/>
      <c r="K141" s="1945"/>
      <c r="L141" s="951"/>
    </row>
    <row r="142" spans="1:12" ht="32.1" customHeight="1" x14ac:dyDescent="0.25">
      <c r="A142" s="986" t="s">
        <v>415</v>
      </c>
      <c r="B142" s="1945" t="s">
        <v>426</v>
      </c>
      <c r="C142" s="1945"/>
      <c r="D142" s="1945"/>
      <c r="E142" s="1945"/>
      <c r="F142" s="1945"/>
      <c r="G142" s="1945"/>
      <c r="H142" s="1945"/>
      <c r="I142" s="1945"/>
      <c r="J142" s="1945"/>
      <c r="K142" s="1945"/>
      <c r="L142" s="953"/>
    </row>
    <row r="143" spans="1:12" ht="32.1" customHeight="1" x14ac:dyDescent="0.25">
      <c r="A143" s="985" t="s">
        <v>415</v>
      </c>
      <c r="B143" s="1945" t="s">
        <v>427</v>
      </c>
      <c r="C143" s="1945"/>
      <c r="D143" s="1945"/>
      <c r="E143" s="1945"/>
      <c r="F143" s="1945"/>
      <c r="G143" s="1945"/>
      <c r="H143" s="1945"/>
      <c r="I143" s="1945"/>
      <c r="J143" s="1945"/>
      <c r="K143" s="1945"/>
    </row>
    <row r="144" spans="1:12" ht="23.1" customHeight="1" x14ac:dyDescent="0.25">
      <c r="A144" s="985" t="s">
        <v>415</v>
      </c>
      <c r="B144" s="1945" t="s">
        <v>428</v>
      </c>
      <c r="C144" s="1945"/>
      <c r="D144" s="1945"/>
      <c r="E144" s="1945"/>
      <c r="F144" s="1945"/>
      <c r="G144" s="1945"/>
      <c r="H144" s="1945"/>
      <c r="I144" s="1945"/>
      <c r="J144" s="1945"/>
      <c r="K144" s="1945"/>
    </row>
    <row r="145" spans="1:11" ht="23.1" customHeight="1" x14ac:dyDescent="0.25">
      <c r="A145" s="985" t="s">
        <v>415</v>
      </c>
      <c r="B145" s="1945" t="s">
        <v>429</v>
      </c>
      <c r="C145" s="1945"/>
      <c r="D145" s="1945"/>
      <c r="E145" s="1945"/>
      <c r="F145" s="1945"/>
      <c r="G145" s="1945"/>
      <c r="H145" s="1945"/>
      <c r="I145" s="1945"/>
      <c r="J145" s="1945"/>
      <c r="K145" s="1945"/>
    </row>
    <row r="146" spans="1:11" ht="23.1" customHeight="1" x14ac:dyDescent="0.25">
      <c r="A146" s="985" t="s">
        <v>415</v>
      </c>
      <c r="B146" s="1945" t="s">
        <v>497</v>
      </c>
      <c r="C146" s="1945"/>
      <c r="D146" s="1945"/>
      <c r="E146" s="1945"/>
      <c r="F146" s="1945"/>
      <c r="G146" s="1945"/>
      <c r="H146" s="1945"/>
      <c r="I146" s="1945"/>
      <c r="J146" s="1945"/>
      <c r="K146" s="1945"/>
    </row>
    <row r="147" spans="1:11" ht="23.1" customHeight="1" x14ac:dyDescent="0.25">
      <c r="A147" s="985" t="s">
        <v>415</v>
      </c>
      <c r="B147" s="1945" t="s">
        <v>430</v>
      </c>
      <c r="C147" s="1945"/>
      <c r="D147" s="1945"/>
      <c r="E147" s="1945"/>
      <c r="F147" s="1945"/>
      <c r="G147" s="1945"/>
      <c r="H147" s="1945"/>
      <c r="I147" s="1945"/>
      <c r="J147" s="1945"/>
      <c r="K147" s="1945"/>
    </row>
    <row r="148" spans="1:11" ht="23.1" customHeight="1" x14ac:dyDescent="0.25">
      <c r="A148" s="985" t="s">
        <v>415</v>
      </c>
      <c r="B148" s="1945" t="s">
        <v>496</v>
      </c>
      <c r="C148" s="1945"/>
      <c r="D148" s="1945"/>
      <c r="E148" s="1945"/>
      <c r="F148" s="1945"/>
      <c r="G148" s="1945"/>
      <c r="H148" s="1945"/>
      <c r="I148" s="1945"/>
      <c r="J148" s="1945"/>
      <c r="K148" s="1945"/>
    </row>
    <row r="149" spans="1:11" ht="23.1" customHeight="1" x14ac:dyDescent="0.25">
      <c r="A149" s="985" t="s">
        <v>424</v>
      </c>
      <c r="B149" s="1945" t="s">
        <v>495</v>
      </c>
      <c r="C149" s="1945"/>
      <c r="D149" s="1945"/>
      <c r="E149" s="1945"/>
      <c r="F149" s="1945"/>
      <c r="G149" s="1945"/>
      <c r="H149" s="1945"/>
      <c r="I149" s="1945"/>
      <c r="J149" s="1945"/>
      <c r="K149" s="1945"/>
    </row>
    <row r="150" spans="1:11" ht="32.1" customHeight="1" x14ac:dyDescent="0.25">
      <c r="A150" s="985" t="s">
        <v>415</v>
      </c>
      <c r="B150" s="1957" t="s">
        <v>494</v>
      </c>
      <c r="C150" s="1957"/>
      <c r="D150" s="1957"/>
      <c r="E150" s="1957"/>
      <c r="F150" s="1957"/>
      <c r="G150" s="1957"/>
      <c r="H150" s="1957"/>
      <c r="I150" s="1957"/>
      <c r="J150" s="1957"/>
      <c r="K150" s="1957"/>
    </row>
    <row r="151" spans="1:11" ht="15" customHeight="1" x14ac:dyDescent="0.25">
      <c r="E151" s="855"/>
      <c r="F151" s="855"/>
      <c r="G151" s="855"/>
      <c r="H151" s="855"/>
      <c r="I151" s="855"/>
      <c r="J151" s="855"/>
      <c r="K151" s="855"/>
    </row>
    <row r="152" spans="1:11" ht="15" customHeight="1" x14ac:dyDescent="0.25">
      <c r="A152" s="1956" t="s">
        <v>21</v>
      </c>
      <c r="B152" s="1956"/>
      <c r="C152" s="1956"/>
      <c r="D152" s="1956"/>
      <c r="E152" s="855"/>
      <c r="F152" s="855"/>
      <c r="G152" s="855"/>
      <c r="H152" s="855"/>
      <c r="I152" s="855"/>
      <c r="J152" s="855"/>
      <c r="K152" s="855"/>
    </row>
    <row r="153" spans="1:11" ht="15" customHeight="1" x14ac:dyDescent="0.25">
      <c r="A153" s="952"/>
      <c r="B153" s="952"/>
      <c r="C153" s="952"/>
      <c r="D153" s="952"/>
      <c r="E153" s="855"/>
      <c r="F153" s="855"/>
      <c r="G153" s="855"/>
      <c r="H153" s="855"/>
      <c r="I153" s="855"/>
      <c r="J153" s="855"/>
      <c r="K153" s="855"/>
    </row>
    <row r="154" spans="1:11" ht="15" customHeight="1" x14ac:dyDescent="0.25">
      <c r="A154" s="855"/>
      <c r="B154" s="855"/>
      <c r="C154" s="855"/>
      <c r="D154" s="855"/>
      <c r="E154" s="855"/>
      <c r="F154" s="855"/>
      <c r="G154" s="855"/>
      <c r="H154" s="855"/>
      <c r="I154" s="855"/>
      <c r="J154" s="855"/>
      <c r="K154" s="855"/>
    </row>
    <row r="155" spans="1:11" ht="15" customHeight="1" x14ac:dyDescent="0.25">
      <c r="A155" s="855"/>
      <c r="B155" s="855"/>
      <c r="C155" s="855"/>
      <c r="D155" s="855"/>
      <c r="E155" s="855"/>
      <c r="F155" s="855"/>
      <c r="G155" s="855"/>
      <c r="H155" s="855"/>
      <c r="I155" s="855"/>
      <c r="J155" s="855"/>
      <c r="K155" s="855"/>
    </row>
    <row r="156" spans="1:11" ht="15" customHeight="1" x14ac:dyDescent="0.25">
      <c r="A156" s="954"/>
      <c r="B156" s="1958"/>
      <c r="C156" s="1958"/>
      <c r="D156" s="1958"/>
      <c r="E156" s="1958"/>
      <c r="F156" s="1958"/>
      <c r="G156" s="861"/>
      <c r="H156" s="1958"/>
      <c r="I156" s="1958"/>
      <c r="J156" s="1958"/>
      <c r="K156" s="954"/>
    </row>
    <row r="157" spans="1:11" ht="15" customHeight="1" x14ac:dyDescent="0.25">
      <c r="A157" s="855"/>
      <c r="B157" s="1953" t="s">
        <v>22</v>
      </c>
      <c r="C157" s="1953"/>
      <c r="D157" s="1953"/>
      <c r="E157" s="1953"/>
      <c r="F157" s="1953"/>
      <c r="G157" s="861" t="s">
        <v>413</v>
      </c>
      <c r="H157" s="1953" t="s">
        <v>414</v>
      </c>
      <c r="I157" s="1953"/>
      <c r="J157" s="1953"/>
      <c r="K157" s="855"/>
    </row>
    <row r="158" spans="1:11" ht="21" customHeight="1" x14ac:dyDescent="0.25">
      <c r="B158" s="1954" t="e">
        <f>VLOOKUP(A156,'DATOS &amp;'!P9:S13,4,FALSE)</f>
        <v>#N/A</v>
      </c>
      <c r="C158" s="1954"/>
      <c r="D158" s="1954"/>
      <c r="E158" s="1954"/>
      <c r="F158" s="1954"/>
      <c r="G158" s="955"/>
      <c r="H158" s="1955" t="e">
        <f>VLOOKUP(K156,'DATOS &amp;'!P9:U13,6,FALSE)</f>
        <v>#N/A</v>
      </c>
      <c r="I158" s="1955"/>
      <c r="J158" s="1955"/>
      <c r="K158" s="955"/>
    </row>
    <row r="159" spans="1:11" ht="15" customHeight="1" x14ac:dyDescent="0.25">
      <c r="A159" s="855"/>
      <c r="B159" s="1956" t="e">
        <f>VLOOKUP(A156,'DATOS &amp;'!P9:S13,2,FALSE)</f>
        <v>#N/A</v>
      </c>
      <c r="C159" s="1956"/>
      <c r="D159" s="1956"/>
      <c r="E159" s="1956"/>
      <c r="F159" s="1956"/>
      <c r="G159" s="845"/>
      <c r="H159" s="1956" t="e">
        <f>VLOOKUP(K156,'DATOS &amp;'!P9:U13,2,FALSE)</f>
        <v>#N/A</v>
      </c>
      <c r="I159" s="1956"/>
      <c r="J159" s="1956"/>
      <c r="K159" s="845"/>
    </row>
    <row r="160" spans="1:11" ht="15" customHeight="1" x14ac:dyDescent="0.25">
      <c r="D160" s="855"/>
      <c r="E160" s="855"/>
      <c r="F160" s="855"/>
      <c r="G160" s="855"/>
      <c r="H160" s="855"/>
      <c r="I160" s="855"/>
      <c r="J160" s="855"/>
      <c r="K160" s="855"/>
    </row>
    <row r="161" spans="1:11" ht="15" customHeight="1" x14ac:dyDescent="0.25">
      <c r="A161" s="855"/>
      <c r="B161" s="1948" t="s">
        <v>342</v>
      </c>
      <c r="C161" s="1948"/>
      <c r="D161" s="1948"/>
      <c r="E161" s="1949" t="s">
        <v>343</v>
      </c>
      <c r="F161" s="1949"/>
      <c r="H161" s="956"/>
      <c r="I161" s="1950" t="s">
        <v>412</v>
      </c>
      <c r="J161" s="1950"/>
      <c r="K161" s="967" t="s">
        <v>343</v>
      </c>
    </row>
    <row r="162" spans="1:11" ht="15" customHeight="1" x14ac:dyDescent="0.25">
      <c r="A162" s="855"/>
      <c r="J162" s="855"/>
      <c r="K162" s="855"/>
    </row>
    <row r="163" spans="1:11" ht="15.75" customHeight="1" x14ac:dyDescent="0.25">
      <c r="A163" s="1951" t="s">
        <v>168</v>
      </c>
      <c r="B163" s="1951"/>
      <c r="C163" s="1951"/>
      <c r="D163" s="1951"/>
      <c r="E163" s="1951"/>
      <c r="F163" s="1951"/>
      <c r="G163" s="1951"/>
      <c r="H163" s="1951"/>
      <c r="I163" s="1951"/>
      <c r="J163" s="1951"/>
      <c r="K163" s="1951"/>
    </row>
  </sheetData>
  <sheetProtection password="CF5C" sheet="1" objects="1" scenarios="1"/>
  <mergeCells count="156">
    <mergeCell ref="B149:K149"/>
    <mergeCell ref="B148:K148"/>
    <mergeCell ref="B161:D161"/>
    <mergeCell ref="E161:F161"/>
    <mergeCell ref="J38:K38"/>
    <mergeCell ref="J119:K119"/>
    <mergeCell ref="A43:B43"/>
    <mergeCell ref="C66:H66"/>
    <mergeCell ref="C64:J64"/>
    <mergeCell ref="A112:K112"/>
    <mergeCell ref="I161:J161"/>
    <mergeCell ref="B132:K132"/>
    <mergeCell ref="B133:K133"/>
    <mergeCell ref="B134:K134"/>
    <mergeCell ref="B135:K135"/>
    <mergeCell ref="B136:K136"/>
    <mergeCell ref="B137:K137"/>
    <mergeCell ref="B138:K138"/>
    <mergeCell ref="B139:K139"/>
    <mergeCell ref="B141:K141"/>
    <mergeCell ref="B142:K142"/>
    <mergeCell ref="B143:K143"/>
    <mergeCell ref="J80:K80"/>
    <mergeCell ref="B145:K145"/>
    <mergeCell ref="B140:K140"/>
    <mergeCell ref="A163:K163"/>
    <mergeCell ref="A120:E120"/>
    <mergeCell ref="C110:D110"/>
    <mergeCell ref="F125:G125"/>
    <mergeCell ref="C100:D100"/>
    <mergeCell ref="A130:F130"/>
    <mergeCell ref="C103:D103"/>
    <mergeCell ref="A107:B110"/>
    <mergeCell ref="C107:D107"/>
    <mergeCell ref="C108:D108"/>
    <mergeCell ref="A152:D152"/>
    <mergeCell ref="A100:B103"/>
    <mergeCell ref="E126:E128"/>
    <mergeCell ref="B147:K147"/>
    <mergeCell ref="H157:J157"/>
    <mergeCell ref="H156:J156"/>
    <mergeCell ref="B156:F156"/>
    <mergeCell ref="B157:F157"/>
    <mergeCell ref="B158:F158"/>
    <mergeCell ref="H158:J158"/>
    <mergeCell ref="H159:J159"/>
    <mergeCell ref="B150:K150"/>
    <mergeCell ref="B159:F159"/>
    <mergeCell ref="B146:K146"/>
    <mergeCell ref="A31:H31"/>
    <mergeCell ref="C60:K60"/>
    <mergeCell ref="A83:K84"/>
    <mergeCell ref="C65:J65"/>
    <mergeCell ref="C61:J61"/>
    <mergeCell ref="A33:K34"/>
    <mergeCell ref="A92:C92"/>
    <mergeCell ref="A98:I98"/>
    <mergeCell ref="A93:C93"/>
    <mergeCell ref="G93:H93"/>
    <mergeCell ref="I93:J93"/>
    <mergeCell ref="I75:J75"/>
    <mergeCell ref="F75:H75"/>
    <mergeCell ref="C75:E75"/>
    <mergeCell ref="I76:J76"/>
    <mergeCell ref="F76:H76"/>
    <mergeCell ref="A94:C94"/>
    <mergeCell ref="A96:K96"/>
    <mergeCell ref="G94:H94"/>
    <mergeCell ref="I94:J94"/>
    <mergeCell ref="C45:K45"/>
    <mergeCell ref="B144:K144"/>
    <mergeCell ref="C55:J55"/>
    <mergeCell ref="A1:K1"/>
    <mergeCell ref="A6:B6"/>
    <mergeCell ref="A7:B7"/>
    <mergeCell ref="A29:D29"/>
    <mergeCell ref="E29:F29"/>
    <mergeCell ref="A11:B11"/>
    <mergeCell ref="D11:F11"/>
    <mergeCell ref="A8:B8"/>
    <mergeCell ref="A25:K25"/>
    <mergeCell ref="A12:J12"/>
    <mergeCell ref="A17:D17"/>
    <mergeCell ref="A24:D24"/>
    <mergeCell ref="E14:H14"/>
    <mergeCell ref="E15:H15"/>
    <mergeCell ref="E16:H16"/>
    <mergeCell ref="E18:H18"/>
    <mergeCell ref="A27:K27"/>
    <mergeCell ref="A28:K28"/>
    <mergeCell ref="E23:H23"/>
    <mergeCell ref="J3:K3"/>
    <mergeCell ref="E24:H24"/>
    <mergeCell ref="J10:K10"/>
    <mergeCell ref="H10:I10"/>
    <mergeCell ref="D6:K6"/>
    <mergeCell ref="W23:Y23"/>
    <mergeCell ref="A4:D4"/>
    <mergeCell ref="S21:W21"/>
    <mergeCell ref="A14:D14"/>
    <mergeCell ref="A15:D15"/>
    <mergeCell ref="A16:D16"/>
    <mergeCell ref="S23:U23"/>
    <mergeCell ref="E17:H17"/>
    <mergeCell ref="E10:F10"/>
    <mergeCell ref="A10:D10"/>
    <mergeCell ref="A19:D19"/>
    <mergeCell ref="A20:D20"/>
    <mergeCell ref="A21:D21"/>
    <mergeCell ref="A22:D22"/>
    <mergeCell ref="A23:D23"/>
    <mergeCell ref="A18:D18"/>
    <mergeCell ref="D7:K7"/>
    <mergeCell ref="D8:K8"/>
    <mergeCell ref="E19:H19"/>
    <mergeCell ref="E20:H20"/>
    <mergeCell ref="C57:J57"/>
    <mergeCell ref="C59:J59"/>
    <mergeCell ref="C50:K50"/>
    <mergeCell ref="C52:K52"/>
    <mergeCell ref="C54:K54"/>
    <mergeCell ref="C56:K56"/>
    <mergeCell ref="C58:K58"/>
    <mergeCell ref="C47:K48"/>
    <mergeCell ref="A124:I124"/>
    <mergeCell ref="A86:E86"/>
    <mergeCell ref="A90:C90"/>
    <mergeCell ref="G90:H90"/>
    <mergeCell ref="A122:E122"/>
    <mergeCell ref="E92:F92"/>
    <mergeCell ref="K107:K110"/>
    <mergeCell ref="K100:K103"/>
    <mergeCell ref="E91:F91"/>
    <mergeCell ref="I90:J90"/>
    <mergeCell ref="E90:F90"/>
    <mergeCell ref="I92:J92"/>
    <mergeCell ref="C102:D102"/>
    <mergeCell ref="C101:D101"/>
    <mergeCell ref="G92:H92"/>
    <mergeCell ref="G91:H91"/>
    <mergeCell ref="F106:G106"/>
    <mergeCell ref="A73:K73"/>
    <mergeCell ref="A99:B99"/>
    <mergeCell ref="C99:E99"/>
    <mergeCell ref="E93:F93"/>
    <mergeCell ref="E94:F94"/>
    <mergeCell ref="F99:G99"/>
    <mergeCell ref="C62:F62"/>
    <mergeCell ref="A71:E71"/>
    <mergeCell ref="A91:C91"/>
    <mergeCell ref="C68:H68"/>
    <mergeCell ref="A81:E81"/>
    <mergeCell ref="C63:J63"/>
    <mergeCell ref="A88:K88"/>
    <mergeCell ref="I91:J91"/>
    <mergeCell ref="C76:E76"/>
  </mergeCells>
  <printOptions horizontalCentered="1"/>
  <pageMargins left="0.23622047244094491" right="0.23622047244094491" top="0.74803149606299213" bottom="0.74803149606299213" header="0.31496062992125984" footer="0.31496062992125984"/>
  <pageSetup scale="67" orientation="portrait" r:id="rId1"/>
  <headerFooter>
    <oddHeader>&amp;C
&amp;"-,Negrita"CERTIFICADO DE CALIBRACIÓN DE RECIPIENTES VOLUMÉTRICOS</oddHeader>
    <oddFooter xml:space="preserve">&amp;RRT03-F14 Vr.9 (2021-01-22)
&amp;P de 4 </oddFooter>
  </headerFooter>
  <rowBreaks count="3" manualBreakCount="3">
    <brk id="35" max="10" man="1"/>
    <brk id="77" max="10" man="1"/>
    <brk id="116" max="10" man="1"/>
  </rowBreaks>
  <colBreaks count="1" manualBreakCount="1">
    <brk id="11" max="1048575" man="1"/>
  </colBreaks>
  <ignoredErrors>
    <ignoredError sqref="I94 G94 D94 B159" evalError="1"/>
  </ignoredErrors>
  <drawing r:id="rId2"/>
  <extLst>
    <ext xmlns:x14="http://schemas.microsoft.com/office/spreadsheetml/2009/9/main" uri="{78C0D931-6437-407d-A8EE-F0AAD7539E65}">
      <x14:conditionalFormattings>
        <x14:conditionalFormatting xmlns:xm="http://schemas.microsoft.com/office/excel/2006/main">
          <x14:cfRule type="containsText" priority="11" operator="containsText" id="{3D4A6520-9655-4425-85F5-EDE05C527B4C}">
            <xm:f>NOT(ISERROR(SEARCH($F$107,F120)))</xm:f>
            <xm:f>$F$107</xm:f>
            <x14:dxf>
              <font>
                <b/>
                <i val="0"/>
              </font>
            </x14:dxf>
          </x14:cfRule>
          <x14:cfRule type="containsText" priority="12" stopIfTrue="1" operator="containsText" id="{10145571-340A-42E6-A73D-51EBE00510D1}">
            <xm:f>NOT(ISERROR(SEARCH($F$107,F120)))</xm:f>
            <xm:f>$F$107</xm:f>
            <x14:dxf>
              <font>
                <b/>
                <i val="0"/>
                <color auto="1"/>
              </font>
              <fill>
                <patternFill>
                  <bgColor rgb="FFFFC7CE"/>
                </patternFill>
              </fill>
            </x14:dxf>
          </x14:cfRule>
          <xm:sqref>F120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0000000}">
          <x14:formula1>
            <xm:f>'DATOS &amp;'!$P$9:$P$13</xm:f>
          </x14:formula1>
          <xm:sqref>K156 A156</xm:sqref>
        </x14:dataValidation>
        <x14:dataValidation type="list" allowBlank="1" showInputMessage="1" showErrorMessage="1" xr:uid="{00000000-0002-0000-0700-000001000000}">
          <x14:formula1>
            <xm:f>'DATOS &amp;'!$C$112:$C$117</xm:f>
          </x14:formula1>
          <xm:sqref>K94</xm:sqref>
        </x14:dataValidation>
        <x14:dataValidation type="list" allowBlank="1" showInputMessage="1" showErrorMessage="1" xr:uid="{00000000-0002-0000-0700-000002000000}">
          <x14:formula1>
            <xm:f>'DATOS &amp;'!$Q$26:$Q$28</xm:f>
          </x14:formula1>
          <xm:sqref>B76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030A0"/>
  </sheetPr>
  <dimension ref="A1:Q23"/>
  <sheetViews>
    <sheetView showGridLines="0" view="pageBreakPreview" topLeftCell="B1" zoomScaleNormal="100" zoomScaleSheetLayoutView="100" workbookViewId="0">
      <selection activeCell="D20" sqref="D20"/>
    </sheetView>
  </sheetViews>
  <sheetFormatPr baseColWidth="10" defaultColWidth="11.42578125" defaultRowHeight="15" x14ac:dyDescent="0.2"/>
  <cols>
    <col min="1" max="1" width="20" style="755" bestFit="1" customWidth="1"/>
    <col min="2" max="3" width="14.42578125" style="755" customWidth="1"/>
    <col min="4" max="4" width="17.28515625" style="755" bestFit="1" customWidth="1"/>
    <col min="5" max="5" width="21.42578125" style="755" bestFit="1" customWidth="1"/>
    <col min="6" max="6" width="13" style="755" bestFit="1" customWidth="1"/>
    <col min="7" max="7" width="20.7109375" style="755" customWidth="1"/>
    <col min="8" max="8" width="19" style="755" customWidth="1"/>
    <col min="9" max="9" width="22.28515625" style="755" customWidth="1"/>
    <col min="10" max="10" width="16.5703125" style="755" bestFit="1" customWidth="1"/>
    <col min="11" max="16384" width="11.42578125" style="755"/>
  </cols>
  <sheetData>
    <row r="1" spans="1:17" ht="95.25" customHeight="1" x14ac:dyDescent="0.2">
      <c r="D1" s="1959"/>
      <c r="E1" s="1959"/>
      <c r="F1" s="1959"/>
      <c r="G1" s="1960" t="s">
        <v>508</v>
      </c>
      <c r="H1" s="1959"/>
      <c r="I1" s="1959"/>
      <c r="J1" s="1959"/>
      <c r="K1" s="1959"/>
      <c r="L1" s="1959"/>
      <c r="M1" s="1959"/>
      <c r="N1" s="1959"/>
      <c r="O1" s="1959"/>
      <c r="P1" s="1959"/>
      <c r="Q1" s="1959"/>
    </row>
    <row r="2" spans="1:17" ht="13.5" customHeight="1" thickBot="1" x14ac:dyDescent="0.25"/>
    <row r="3" spans="1:17" ht="44.45" customHeight="1" thickBot="1" x14ac:dyDescent="0.25">
      <c r="A3" s="805" t="s">
        <v>470</v>
      </c>
      <c r="B3" s="808" t="s">
        <v>499</v>
      </c>
      <c r="C3" s="807" t="s">
        <v>500</v>
      </c>
      <c r="D3" s="806" t="s">
        <v>476</v>
      </c>
      <c r="E3" s="806" t="s">
        <v>478</v>
      </c>
      <c r="F3" s="807" t="s">
        <v>467</v>
      </c>
      <c r="G3" s="1968" t="s">
        <v>469</v>
      </c>
      <c r="H3" s="1969"/>
      <c r="I3" s="1970"/>
      <c r="K3" s="756"/>
      <c r="L3" s="756"/>
    </row>
    <row r="4" spans="1:17" ht="20.100000000000001" customHeight="1" x14ac:dyDescent="0.2">
      <c r="A4" s="782">
        <v>1</v>
      </c>
      <c r="B4" s="784">
        <v>9.4635300000000004</v>
      </c>
      <c r="C4" s="785">
        <v>-9.4635300000000004</v>
      </c>
      <c r="D4" s="809">
        <v>0</v>
      </c>
      <c r="E4" s="791"/>
      <c r="F4" s="791"/>
      <c r="G4" s="813" t="s">
        <v>471</v>
      </c>
      <c r="H4" s="763" t="s">
        <v>472</v>
      </c>
      <c r="I4" s="764" t="s">
        <v>473</v>
      </c>
      <c r="K4" s="757"/>
      <c r="L4" s="757"/>
    </row>
    <row r="5" spans="1:17" ht="20.100000000000001" customHeight="1" x14ac:dyDescent="0.2">
      <c r="A5" s="765" t="s">
        <v>228</v>
      </c>
      <c r="B5" s="786">
        <v>9.4635300000000004</v>
      </c>
      <c r="C5" s="787">
        <v>-9.4635300000000004</v>
      </c>
      <c r="D5" s="810">
        <v>0</v>
      </c>
      <c r="E5" s="788" t="e">
        <f>'RT03-F33 &amp; '!G194</f>
        <v>#N/A</v>
      </c>
      <c r="F5" s="787" t="e">
        <f>'RT03-F14 &amp;'!H100</f>
        <v>#N/A</v>
      </c>
      <c r="G5" s="766" t="e">
        <f>(B5-E5)/(F5/2)</f>
        <v>#N/A</v>
      </c>
      <c r="H5" s="767" t="e">
        <f>_xlfn.NORM.S.DIST(G5,1)</f>
        <v>#N/A</v>
      </c>
      <c r="I5" s="768" t="e">
        <f>1-H5</f>
        <v>#N/A</v>
      </c>
      <c r="K5" s="757"/>
      <c r="L5" s="757"/>
    </row>
    <row r="6" spans="1:17" ht="20.100000000000001" customHeight="1" x14ac:dyDescent="0.2">
      <c r="A6" s="765" t="s">
        <v>468</v>
      </c>
      <c r="B6" s="786">
        <v>9.4635300000000004</v>
      </c>
      <c r="C6" s="787">
        <v>-9.4635300000000004</v>
      </c>
      <c r="D6" s="810">
        <v>0</v>
      </c>
      <c r="E6" s="788" t="e">
        <f>#REF!</f>
        <v>#REF!</v>
      </c>
      <c r="F6" s="787" t="e">
        <f>'RT03-F14 &amp;'!H107</f>
        <v>#REF!</v>
      </c>
      <c r="G6" s="769" t="s">
        <v>474</v>
      </c>
      <c r="H6" s="770" t="s">
        <v>472</v>
      </c>
      <c r="I6" s="771" t="s">
        <v>473</v>
      </c>
      <c r="K6" s="757"/>
      <c r="L6" s="757"/>
    </row>
    <row r="7" spans="1:17" ht="20.100000000000001" customHeight="1" x14ac:dyDescent="0.2">
      <c r="A7" s="765">
        <v>3</v>
      </c>
      <c r="B7" s="786">
        <v>9.4635300000000004</v>
      </c>
      <c r="C7" s="787">
        <v>-9.4635300000000004</v>
      </c>
      <c r="D7" s="810">
        <v>0</v>
      </c>
      <c r="E7" s="792"/>
      <c r="F7" s="792"/>
      <c r="G7" s="766" t="e">
        <f>(E5-C5)/(F5/2)</f>
        <v>#N/A</v>
      </c>
      <c r="H7" s="767" t="e">
        <f>_xlfn.NORM.S.DIST(G7,1)</f>
        <v>#N/A</v>
      </c>
      <c r="I7" s="794" t="e">
        <f>1-H7</f>
        <v>#N/A</v>
      </c>
      <c r="K7" s="757"/>
      <c r="L7" s="757"/>
    </row>
    <row r="8" spans="1:17" ht="20.100000000000001" customHeight="1" thickBot="1" x14ac:dyDescent="0.25">
      <c r="A8" s="783">
        <v>4</v>
      </c>
      <c r="B8" s="789">
        <v>9.4635300000000004</v>
      </c>
      <c r="C8" s="790">
        <v>-9.4635300000000004</v>
      </c>
      <c r="D8" s="811">
        <v>0</v>
      </c>
      <c r="E8" s="793"/>
      <c r="F8" s="793"/>
      <c r="G8" s="1971" t="e">
        <f>IF(AND(H5&gt;=97.5%,I5&lt;=2.5%),"CUMPLE","NO CUMPLE")</f>
        <v>#N/A</v>
      </c>
      <c r="H8" s="1972"/>
      <c r="I8" s="1973"/>
      <c r="K8" s="757"/>
      <c r="L8" s="757"/>
    </row>
    <row r="9" spans="1:17" ht="36" customHeight="1" thickBot="1" x14ac:dyDescent="0.3">
      <c r="A9" s="781">
        <f>B13/2000</f>
        <v>9.4635300000000004</v>
      </c>
      <c r="G9" s="1965" t="s">
        <v>475</v>
      </c>
      <c r="H9" s="1966"/>
      <c r="I9" s="1967"/>
    </row>
    <row r="10" spans="1:17" ht="32.1" customHeight="1" thickBot="1" x14ac:dyDescent="0.25">
      <c r="B10" s="1961" t="s">
        <v>501</v>
      </c>
      <c r="C10" s="1962"/>
      <c r="D10" s="758"/>
      <c r="G10" s="795" t="s">
        <v>471</v>
      </c>
      <c r="H10" s="796" t="s">
        <v>472</v>
      </c>
      <c r="I10" s="797" t="s">
        <v>473</v>
      </c>
    </row>
    <row r="11" spans="1:17" x14ac:dyDescent="0.2">
      <c r="B11" s="778">
        <v>5</v>
      </c>
      <c r="C11" s="779" t="s">
        <v>6</v>
      </c>
      <c r="D11" s="759"/>
      <c r="G11" s="798" t="e">
        <f>(B6-E6)/(F6/2)</f>
        <v>#REF!</v>
      </c>
      <c r="H11" s="799" t="e">
        <f>_xlfn.NORM.S.DIST(G11,1)</f>
        <v>#REF!</v>
      </c>
      <c r="I11" s="800" t="e">
        <f>1-H11</f>
        <v>#REF!</v>
      </c>
    </row>
    <row r="12" spans="1:17" x14ac:dyDescent="0.2">
      <c r="B12" s="773">
        <f>B11*3.785412</f>
        <v>18.927060000000001</v>
      </c>
      <c r="C12" s="772" t="s">
        <v>466</v>
      </c>
      <c r="D12" s="759"/>
      <c r="G12" s="801" t="s">
        <v>474</v>
      </c>
      <c r="H12" s="761" t="s">
        <v>472</v>
      </c>
      <c r="I12" s="762" t="s">
        <v>473</v>
      </c>
    </row>
    <row r="13" spans="1:17" ht="15.75" thickBot="1" x14ac:dyDescent="0.25">
      <c r="B13" s="774">
        <f>B12*1000</f>
        <v>18927.060000000001</v>
      </c>
      <c r="C13" s="775" t="s">
        <v>2</v>
      </c>
      <c r="D13" s="759"/>
      <c r="G13" s="802" t="e">
        <f>(E6-C6)/(F6/2)</f>
        <v>#REF!</v>
      </c>
      <c r="H13" s="803" t="e">
        <f>_xlfn.NORM.S.DIST(G13,1)</f>
        <v>#REF!</v>
      </c>
      <c r="I13" s="804" t="e">
        <f>1-H13</f>
        <v>#REF!</v>
      </c>
    </row>
    <row r="14" spans="1:17" ht="15.75" thickBot="1" x14ac:dyDescent="0.25">
      <c r="G14" s="1974" t="e">
        <f>IF(AND(H11&gt;=97.5%,I11&lt;=2.5%),"CUMPLE","NO CUMPLE")</f>
        <v>#REF!</v>
      </c>
      <c r="H14" s="1975"/>
      <c r="I14" s="1976"/>
    </row>
    <row r="15" spans="1:17" ht="32.1" customHeight="1" thickBot="1" x14ac:dyDescent="0.25">
      <c r="B15" s="1963" t="s">
        <v>502</v>
      </c>
      <c r="C15" s="1964"/>
      <c r="D15" s="758"/>
    </row>
    <row r="16" spans="1:17" x14ac:dyDescent="0.2">
      <c r="B16" s="780" t="e">
        <f>'RT03-F33 &amp; '!B196</f>
        <v>#N/A</v>
      </c>
      <c r="C16" s="779" t="s">
        <v>6</v>
      </c>
      <c r="D16" s="760"/>
    </row>
    <row r="17" spans="2:4" x14ac:dyDescent="0.2">
      <c r="B17" s="776" t="e">
        <f>B16*3.785412</f>
        <v>#N/A</v>
      </c>
      <c r="C17" s="772" t="s">
        <v>466</v>
      </c>
      <c r="D17" s="760"/>
    </row>
    <row r="18" spans="2:4" ht="15.75" thickBot="1" x14ac:dyDescent="0.25">
      <c r="B18" s="777" t="e">
        <f>'RT03-F33 &amp; '!B194</f>
        <v>#N/A</v>
      </c>
      <c r="C18" s="775" t="s">
        <v>2</v>
      </c>
      <c r="D18" s="760"/>
    </row>
    <row r="19" spans="2:4" ht="15.75" thickBot="1" x14ac:dyDescent="0.25"/>
    <row r="20" spans="2:4" ht="32.1" customHeight="1" thickBot="1" x14ac:dyDescent="0.25">
      <c r="B20" s="1963" t="s">
        <v>503</v>
      </c>
      <c r="C20" s="1964"/>
      <c r="D20" s="758"/>
    </row>
    <row r="21" spans="2:4" x14ac:dyDescent="0.2">
      <c r="B21" s="780" t="e">
        <f>#REF!</f>
        <v>#REF!</v>
      </c>
      <c r="C21" s="779" t="s">
        <v>6</v>
      </c>
      <c r="D21" s="760"/>
    </row>
    <row r="22" spans="2:4" x14ac:dyDescent="0.2">
      <c r="B22" s="776" t="e">
        <f>B21*3.785412</f>
        <v>#REF!</v>
      </c>
      <c r="C22" s="772" t="s">
        <v>466</v>
      </c>
      <c r="D22" s="760"/>
    </row>
    <row r="23" spans="2:4" ht="15.75" thickBot="1" x14ac:dyDescent="0.25">
      <c r="B23" s="777" t="e">
        <f>#REF!</f>
        <v>#REF!</v>
      </c>
      <c r="C23" s="775" t="s">
        <v>2</v>
      </c>
      <c r="D23" s="760"/>
    </row>
  </sheetData>
  <sheetProtection password="CF5C" sheet="1" objects="1" scenarios="1"/>
  <mergeCells count="9">
    <mergeCell ref="D1:F1"/>
    <mergeCell ref="G1:Q1"/>
    <mergeCell ref="B10:C10"/>
    <mergeCell ref="B15:C15"/>
    <mergeCell ref="B20:C20"/>
    <mergeCell ref="G9:I9"/>
    <mergeCell ref="G3:I3"/>
    <mergeCell ref="G8:I8"/>
    <mergeCell ref="G14:I14"/>
  </mergeCells>
  <pageMargins left="0.70866141732283472" right="0.70866141732283472" top="0.74803149606299213" bottom="0.74803149606299213" header="0.31496062992125984" footer="0.31496062992125984"/>
  <pageSetup scale="34" orientation="portrait" r:id="rId1"/>
  <headerFooter>
    <oddFooter>&amp;RRT03-F11 Vr.10 (2021-02-04)</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25</vt:i4>
      </vt:variant>
    </vt:vector>
  </HeadingPairs>
  <TitlesOfParts>
    <vt:vector size="34" baseType="lpstr">
      <vt:lpstr>DATOS &amp;</vt:lpstr>
      <vt:lpstr>Hoja1</vt:lpstr>
      <vt:lpstr>RT03-F33 &amp; </vt:lpstr>
      <vt:lpstr>CMC &amp;</vt:lpstr>
      <vt:lpstr>Máx. y Mín. &amp;</vt:lpstr>
      <vt:lpstr>VERIFICACIÓN DE LA ESCALA &amp;</vt:lpstr>
      <vt:lpstr>RT03-F38 &amp;</vt:lpstr>
      <vt:lpstr>RT03-F14 &amp;</vt:lpstr>
      <vt:lpstr>Pc &amp;</vt:lpstr>
      <vt:lpstr>'RT03-F33 &amp; '!aCinco</vt:lpstr>
      <vt:lpstr>'RT03-F33 &amp; '!aCuatro</vt:lpstr>
      <vt:lpstr>'RT03-F33 &amp; '!aDos</vt:lpstr>
      <vt:lpstr>'CMC &amp;'!Área_de_impresión</vt:lpstr>
      <vt:lpstr>'DATOS &amp;'!Área_de_impresión</vt:lpstr>
      <vt:lpstr>'Máx. y Mín. &amp;'!Área_de_impresión</vt:lpstr>
      <vt:lpstr>'Pc &amp;'!Área_de_impresión</vt:lpstr>
      <vt:lpstr>'RT03-F14 &amp;'!Área_de_impresión</vt:lpstr>
      <vt:lpstr>'RT03-F33 &amp; '!Área_de_impresión</vt:lpstr>
      <vt:lpstr>'RT03-F38 &amp;'!Área_de_impresión</vt:lpstr>
      <vt:lpstr>'VERIFICACIÓN DE LA ESCALA &amp;'!Área_de_impresión</vt:lpstr>
      <vt:lpstr>'RT03-F33 &amp; '!aTres</vt:lpstr>
      <vt:lpstr>'RT03-F33 &amp; '!aUno</vt:lpstr>
      <vt:lpstr>'RT03-F33 &amp; '!kCero</vt:lpstr>
      <vt:lpstr>'RT03-F33 &amp; '!kDos</vt:lpstr>
      <vt:lpstr>'RT03-F33 &amp; '!kUno</vt:lpstr>
      <vt:lpstr>'RT03-F33 &amp; '!p</vt:lpstr>
      <vt:lpstr>'RT03-F33 &amp; '!Pcero</vt:lpstr>
      <vt:lpstr>'RT03-F14 &amp;'!Print_Area</vt:lpstr>
      <vt:lpstr>'RT03-F38 &amp;'!Print_Area</vt:lpstr>
      <vt:lpstr>'VERIFICACIÓN DE LA ESCALA &amp;'!Print_Area</vt:lpstr>
      <vt:lpstr>'VERIFICACIÓN DE LA ESCALA &amp;'!Print_Titles</vt:lpstr>
      <vt:lpstr>'RT03-F33 &amp; '!sCero</vt:lpstr>
      <vt:lpstr>'RT03-F33 &amp; '!sUno</vt:lpstr>
      <vt:lpstr>'RT03-F33 &amp; '!t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Laboratorio de Volumen SIC</dc:creator>
  <cp:lastModifiedBy>PERSONAL</cp:lastModifiedBy>
  <cp:lastPrinted>2021-01-22T20:37:18Z</cp:lastPrinted>
  <dcterms:created xsi:type="dcterms:W3CDTF">2015-11-06T23:47:29Z</dcterms:created>
  <dcterms:modified xsi:type="dcterms:W3CDTF">2021-05-25T01:57:21Z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722878</vt:i4>
  </property>
</Properties>
</file>